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Z:\"/>
    </mc:Choice>
  </mc:AlternateContent>
  <bookViews>
    <workbookView xWindow="0" yWindow="0" windowWidth="21570" windowHeight="8085"/>
  </bookViews>
  <sheets>
    <sheet name="1 INSTRUCTIVO" sheetId="38" r:id="rId1"/>
    <sheet name="2 CONTEXTO E IDENTIFICACIÓN" sheetId="30" r:id="rId2"/>
    <sheet name="11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 sheetId="35" r:id="rId8"/>
    <sheet name="7 MAPA CALOR INHEREN Y RESIDUAL" sheetId="37" r:id="rId9"/>
    <sheet name="8 PEFIL RIESGO DEL PROCESO" sheetId="33" r:id="rId10"/>
    <sheet name="10 CONTROL DE CAMBIOS" sheetId="20" state="hidden"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RESIDUAL'!$A$8:$AL$8</definedName>
    <definedName name="_xlnm._FilterDatabase" localSheetId="8" hidden="1">'7 MAPA CALOR INHEREN Y RESIDUAL'!$A$9:$AL$9</definedName>
    <definedName name="Afectación_Económica">'3 PROBABIL E IMPACTO INHERENTE'!$X$9:$X$14</definedName>
    <definedName name="_xlnm.Print_Area" localSheetId="0">'1 INSTRUCTIVO'!$A$1:$H$66</definedName>
    <definedName name="_xlnm.Print_Area" localSheetId="10">'10 CONTROL DE CAMBIOS'!$A$1:$D$9</definedName>
    <definedName name="_xlnm.Print_Area" localSheetId="1">'2 CONTEXTO E IDENTIFICACIÓN'!$A$1:$K$41</definedName>
    <definedName name="_xlnm.Print_Area" localSheetId="3">'3 PROBABIL E IMPACTO INHERENTE'!$A$1:$Y$39</definedName>
    <definedName name="_xlnm.Print_Area" localSheetId="4">'4 MAPA CALOR INHERENTE'!$A$1:$V$40</definedName>
    <definedName name="_xlnm.Print_Area" localSheetId="5">'5 VALORACIÓN CONTROL PROBAB.'!$A$1:$Z$193</definedName>
    <definedName name="_xlnm.Print_Area" localSheetId="8">'7 MAPA CALOR INHEREN Y RESIDUAL'!$A$1:$U$14</definedName>
    <definedName name="Definicion_tratamiento" localSheetId="6">'11 FORMULAS'!#REF!</definedName>
    <definedName name="Definicion_tratamiento">'11 FORMULAS'!#REF!</definedName>
    <definedName name="E_Relaciones_Laborales">'11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 localSheetId="6">'11 FORMULAS'!#REF!</definedName>
    <definedName name="Fiscal_A">'11 FORMULAS'!#REF!</definedName>
    <definedName name="Fiscal_B" localSheetId="6">'11 FORMULAS'!#REF!</definedName>
    <definedName name="Fiscal_B">'11 FORMULAS'!#REF!</definedName>
    <definedName name="G_Daños_Activos_Físicos">'11 FORMULAS'!$C$24:$C$26</definedName>
    <definedName name="Gestión">'11 FORMULAS'!$A$32:$A$34</definedName>
    <definedName name="Gestiòn" localSheetId="6">'11 FORMULAS'!#REF!</definedName>
    <definedName name="Gestiòn">'11 FORMULAS'!#REF!</definedName>
    <definedName name="Gestión_A" localSheetId="6">'11 FORMULAS'!#REF!</definedName>
    <definedName name="Gestión_A">'11 FORMULAS'!#REF!</definedName>
    <definedName name="Gestión_B" localSheetId="6">'11 FORMULAS'!#REF!</definedName>
    <definedName name="Gestión_B">'11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 localSheetId="6">'11 FORMULAS'!#REF!</definedName>
    <definedName name="IntegridadPública_Corrupción">'11 FORMULAS'!#REF!</definedName>
    <definedName name="IntegridadPública_LA_FT_FP" localSheetId="6">'11 FORMULAS'!#REF!</definedName>
    <definedName name="IntegridadPública_LA_FT_FP">'11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'11 FORMULAS'!#REF!</definedName>
    <definedName name="Plan_accion">'11 FORMULAS'!#REF!</definedName>
    <definedName name="Plan_acción" localSheetId="6">'11 FORMULAS'!#REF!</definedName>
    <definedName name="Plan_acción">'11 FORMULAS'!#REF!</definedName>
    <definedName name="Plan_de_acción" localSheetId="6">'11 FORMULAS'!#REF!</definedName>
    <definedName name="Plan_de_acción">'11 FORMULAS'!#REF!</definedName>
    <definedName name="Posibilidad__de_efecto_dañoso_sobre_el_interes_patrimonial" localSheetId="6">'11 FORMULAS'!#REF!</definedName>
    <definedName name="Posibilidad__de_efecto_dañoso_sobre_el_interes_patrimonial">'11 FORMULAS'!#REF!</definedName>
    <definedName name="Posibilidad_de_pérdida_Económica" localSheetId="6">'11 FORMULAS'!#REF!</definedName>
    <definedName name="Posibilidad_de_pérdida_Económica">'11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'11 FORMULAS'!#REF!</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'11 FORMULAS'!$B$39:$B$42</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 i="15" l="1"/>
  <c r="S183" i="9" l="1"/>
  <c r="S182" i="9"/>
  <c r="T182" i="9" s="1"/>
  <c r="U182" i="9" s="1"/>
  <c r="S152" i="9"/>
  <c r="T152" i="9" s="1"/>
  <c r="U152" i="9" s="1"/>
  <c r="S148" i="9"/>
  <c r="S147" i="9"/>
  <c r="S146" i="9"/>
  <c r="T146" i="9" s="1"/>
  <c r="U146" i="9" s="1"/>
  <c r="S142" i="9"/>
  <c r="S141" i="9"/>
  <c r="S140" i="9"/>
  <c r="T140" i="9" s="1"/>
  <c r="U140" i="9" s="1"/>
  <c r="S136" i="9"/>
  <c r="T136" i="9"/>
  <c r="U136" i="9"/>
  <c r="T137" i="9" s="1"/>
  <c r="S137" i="9"/>
  <c r="S135" i="9"/>
  <c r="S134" i="9"/>
  <c r="T134" i="9" s="1"/>
  <c r="U134" i="9" s="1"/>
  <c r="S129" i="9"/>
  <c r="S128" i="9"/>
  <c r="T128" i="9" s="1"/>
  <c r="U128" i="9" s="1"/>
  <c r="S123" i="9"/>
  <c r="S122" i="9"/>
  <c r="T122" i="9" s="1"/>
  <c r="U122" i="9" s="1"/>
  <c r="T183" i="9" l="1"/>
  <c r="U183" i="9" s="1"/>
  <c r="T147" i="9"/>
  <c r="U147" i="9"/>
  <c r="T141" i="9"/>
  <c r="U141" i="9" s="1"/>
  <c r="U137" i="9"/>
  <c r="T135" i="9"/>
  <c r="U135" i="9" s="1"/>
  <c r="T129" i="9"/>
  <c r="U129" i="9" s="1"/>
  <c r="T123" i="9"/>
  <c r="U123" i="9" s="1"/>
  <c r="T148" i="9" l="1"/>
  <c r="U148" i="9" s="1"/>
  <c r="T142" i="9"/>
  <c r="U142" i="9" s="1"/>
  <c r="M14" i="31" l="1"/>
  <c r="M13" i="31"/>
  <c r="M12" i="31"/>
  <c r="M11" i="31"/>
  <c r="L14" i="31"/>
  <c r="L13" i="31"/>
  <c r="L12" i="31"/>
  <c r="L11" i="31"/>
  <c r="K14" i="31"/>
  <c r="K13" i="31"/>
  <c r="K12" i="31"/>
  <c r="K11" i="31"/>
  <c r="J14" i="31"/>
  <c r="J13" i="31"/>
  <c r="J12" i="31"/>
  <c r="J11" i="31"/>
  <c r="I14" i="31"/>
  <c r="I13" i="31"/>
  <c r="I12" i="31"/>
  <c r="I11" i="31"/>
  <c r="M10" i="31"/>
  <c r="L10" i="31"/>
  <c r="K10" i="31"/>
  <c r="J10" i="31"/>
  <c r="I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C11" i="31"/>
  <c r="C12" i="31"/>
  <c r="C13" i="31"/>
  <c r="C14" i="31"/>
  <c r="C15" i="31"/>
  <c r="C16" i="31"/>
  <c r="C17" i="31"/>
  <c r="C18" i="31"/>
  <c r="C19" i="31"/>
  <c r="C20" i="31"/>
  <c r="C21" i="31"/>
  <c r="C22" i="31"/>
  <c r="C23" i="31"/>
  <c r="C24" i="31"/>
  <c r="C25" i="31"/>
  <c r="C26" i="31"/>
  <c r="C27" i="31"/>
  <c r="C28" i="31"/>
  <c r="C29" i="31"/>
  <c r="C30" i="31"/>
  <c r="C31" i="31"/>
  <c r="C32" i="31"/>
  <c r="C33" i="31"/>
  <c r="C34" i="31"/>
  <c r="C35" i="31"/>
  <c r="C36" i="31"/>
  <c r="C37" i="31"/>
  <c r="C38" i="31"/>
  <c r="C39" i="31"/>
  <c r="C40" i="31"/>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22" i="31"/>
  <c r="B22" i="31"/>
  <c r="B23" i="31"/>
  <c r="B24" i="31"/>
  <c r="B25" i="31"/>
  <c r="B26" i="31"/>
  <c r="B27" i="31"/>
  <c r="B28" i="31"/>
  <c r="B29" i="31"/>
  <c r="B30" i="31"/>
  <c r="B31" i="31"/>
  <c r="B32" i="31"/>
  <c r="B33" i="31"/>
  <c r="B34" i="31"/>
  <c r="B35" i="31"/>
  <c r="B36" i="31"/>
  <c r="B37" i="31"/>
  <c r="B38" i="31"/>
  <c r="B39" i="31"/>
  <c r="B40" i="31"/>
  <c r="A24" i="31"/>
  <c r="A25" i="31"/>
  <c r="A26" i="31"/>
  <c r="A27" i="31"/>
  <c r="A28" i="31"/>
  <c r="A29" i="31"/>
  <c r="A30" i="31"/>
  <c r="A31" i="31"/>
  <c r="A32" i="31"/>
  <c r="A33" i="31"/>
  <c r="A34" i="31"/>
  <c r="A35" i="31"/>
  <c r="A36" i="31"/>
  <c r="A37" i="31"/>
  <c r="A38" i="31"/>
  <c r="A39" i="31"/>
  <c r="A40" i="31"/>
  <c r="A23" i="31"/>
  <c r="H104" i="39"/>
  <c r="G104" i="39"/>
  <c r="F104" i="39"/>
  <c r="I104" i="39" s="1"/>
  <c r="H110" i="39"/>
  <c r="G110" i="39"/>
  <c r="F110" i="39"/>
  <c r="I110" i="39" s="1"/>
  <c r="H116" i="39"/>
  <c r="G116" i="39"/>
  <c r="F116" i="39"/>
  <c r="I116" i="39" s="1"/>
  <c r="H123" i="39"/>
  <c r="I123" i="39" s="1"/>
  <c r="G123" i="39"/>
  <c r="F123" i="39"/>
  <c r="H122" i="39"/>
  <c r="G122" i="39"/>
  <c r="F122" i="39"/>
  <c r="I122" i="39" s="1"/>
  <c r="H129" i="39"/>
  <c r="G129" i="39"/>
  <c r="F129" i="39"/>
  <c r="I129" i="39" s="1"/>
  <c r="H128" i="39"/>
  <c r="G128" i="39"/>
  <c r="F128" i="39"/>
  <c r="I128" i="39" s="1"/>
  <c r="H137" i="39"/>
  <c r="G137" i="39"/>
  <c r="F137" i="39"/>
  <c r="I137" i="39" s="1"/>
  <c r="H136" i="39"/>
  <c r="G136" i="39"/>
  <c r="I136" i="39" s="1"/>
  <c r="F136" i="39"/>
  <c r="H135" i="39"/>
  <c r="G135" i="39"/>
  <c r="F135" i="39"/>
  <c r="I135" i="39" s="1"/>
  <c r="H134" i="39"/>
  <c r="G134" i="39"/>
  <c r="F134" i="39"/>
  <c r="H142" i="39"/>
  <c r="G142" i="39"/>
  <c r="F142" i="39"/>
  <c r="I142" i="39" s="1"/>
  <c r="H141" i="39"/>
  <c r="G141" i="39"/>
  <c r="F141" i="39"/>
  <c r="H140" i="39"/>
  <c r="G140" i="39"/>
  <c r="F140" i="39"/>
  <c r="I140" i="39" s="1"/>
  <c r="H148" i="39"/>
  <c r="I148" i="39" s="1"/>
  <c r="G148" i="39"/>
  <c r="F148" i="39"/>
  <c r="H147" i="39"/>
  <c r="G147" i="39"/>
  <c r="F147" i="39"/>
  <c r="I147" i="39" s="1"/>
  <c r="H146" i="39"/>
  <c r="G146" i="39"/>
  <c r="F146" i="39"/>
  <c r="H152" i="39"/>
  <c r="G152" i="39"/>
  <c r="F152" i="39"/>
  <c r="I152" i="39" s="1"/>
  <c r="H158" i="39"/>
  <c r="G158" i="39"/>
  <c r="F158" i="39"/>
  <c r="H164" i="39"/>
  <c r="G164" i="39"/>
  <c r="F164" i="39"/>
  <c r="I164" i="39" s="1"/>
  <c r="H170" i="39"/>
  <c r="G170" i="39"/>
  <c r="F170" i="39"/>
  <c r="H176" i="39"/>
  <c r="G176" i="39"/>
  <c r="F176" i="39"/>
  <c r="I176" i="39" s="1"/>
  <c r="I183" i="39"/>
  <c r="H183" i="39"/>
  <c r="G183" i="39"/>
  <c r="F183" i="39"/>
  <c r="H182" i="39"/>
  <c r="G182" i="39"/>
  <c r="F182" i="39"/>
  <c r="I182" i="39" s="1"/>
  <c r="E22" i="31" l="1"/>
  <c r="I170" i="39"/>
  <c r="I158" i="39"/>
  <c r="I141" i="39"/>
  <c r="I146" i="39"/>
  <c r="I134" i="39"/>
  <c r="H188" i="39"/>
  <c r="G188" i="39"/>
  <c r="F188" i="39"/>
  <c r="N128" i="9" l="1"/>
  <c r="L128" i="9"/>
  <c r="K128" i="9"/>
  <c r="I128" i="9"/>
  <c r="N137" i="9"/>
  <c r="K137" i="9"/>
  <c r="I134" i="9"/>
  <c r="I140" i="9"/>
  <c r="I146" i="9" l="1"/>
  <c r="I152" i="9"/>
  <c r="I158" i="9"/>
  <c r="I159" i="9"/>
  <c r="I160" i="9"/>
  <c r="I161" i="9"/>
  <c r="I162" i="9"/>
  <c r="I163" i="9"/>
  <c r="I164" i="9"/>
  <c r="I165" i="9"/>
  <c r="I166" i="9"/>
  <c r="I167" i="9"/>
  <c r="I168" i="9"/>
  <c r="I169" i="9"/>
  <c r="I170" i="9"/>
  <c r="I171" i="9"/>
  <c r="I172" i="9"/>
  <c r="I173" i="9"/>
  <c r="I174" i="9"/>
  <c r="I175" i="9"/>
  <c r="I176" i="9"/>
  <c r="I177" i="9"/>
  <c r="I178" i="9"/>
  <c r="I179" i="9"/>
  <c r="I180" i="9"/>
  <c r="I181" i="9"/>
  <c r="I182" i="9"/>
  <c r="I183" i="9"/>
  <c r="I184" i="9"/>
  <c r="I185" i="9"/>
  <c r="I186" i="9"/>
  <c r="I187" i="9"/>
  <c r="I188" i="9"/>
  <c r="I189" i="9"/>
  <c r="I190" i="9"/>
  <c r="I191" i="9"/>
  <c r="I192" i="9"/>
  <c r="I193" i="9"/>
  <c r="I150" i="39"/>
  <c r="I151" i="39"/>
  <c r="I154" i="39"/>
  <c r="I155" i="39"/>
  <c r="I156" i="39"/>
  <c r="I157" i="39"/>
  <c r="I159" i="39"/>
  <c r="I160" i="39"/>
  <c r="I161" i="39"/>
  <c r="I162" i="39"/>
  <c r="I163" i="39"/>
  <c r="I166" i="39"/>
  <c r="I167" i="39"/>
  <c r="I168" i="39"/>
  <c r="I169" i="39"/>
  <c r="I174" i="39"/>
  <c r="I175" i="39"/>
  <c r="I178" i="39"/>
  <c r="I179" i="39"/>
  <c r="I180" i="39"/>
  <c r="I181" i="39"/>
  <c r="I188" i="39"/>
  <c r="I189" i="39"/>
  <c r="I190" i="39"/>
  <c r="I191" i="39"/>
  <c r="I192" i="39"/>
  <c r="I193" i="39"/>
  <c r="I145" i="39"/>
  <c r="A39" i="35" l="1"/>
  <c r="A29" i="35"/>
  <c r="A30" i="35"/>
  <c r="A31" i="35"/>
  <c r="A32" i="35"/>
  <c r="A33" i="35"/>
  <c r="A34" i="35"/>
  <c r="A35" i="35"/>
  <c r="A36" i="35"/>
  <c r="A37" i="35"/>
  <c r="A38" i="35"/>
  <c r="N193" i="39"/>
  <c r="L193" i="39"/>
  <c r="K193" i="39"/>
  <c r="S193" i="39" s="1"/>
  <c r="T193" i="39" s="1"/>
  <c r="N192" i="39"/>
  <c r="L192" i="39"/>
  <c r="K192" i="39"/>
  <c r="N191" i="39"/>
  <c r="S191" i="39" s="1"/>
  <c r="L191" i="39"/>
  <c r="K191" i="39"/>
  <c r="N190" i="39"/>
  <c r="L190" i="39"/>
  <c r="K190" i="39"/>
  <c r="N189" i="39"/>
  <c r="L189" i="39"/>
  <c r="K189" i="39"/>
  <c r="S189" i="39" s="1"/>
  <c r="N188" i="39"/>
  <c r="L188" i="39"/>
  <c r="K188" i="39"/>
  <c r="S188" i="39" s="1"/>
  <c r="A188" i="39"/>
  <c r="N187" i="39"/>
  <c r="L187" i="39"/>
  <c r="K187" i="39"/>
  <c r="N186" i="39"/>
  <c r="L186" i="39"/>
  <c r="K186" i="39"/>
  <c r="S186" i="39" s="1"/>
  <c r="N185" i="39"/>
  <c r="L185" i="39"/>
  <c r="K185" i="39"/>
  <c r="S185" i="39" s="1"/>
  <c r="N184" i="39"/>
  <c r="L184" i="39"/>
  <c r="K184" i="39"/>
  <c r="N183" i="39"/>
  <c r="L183" i="39"/>
  <c r="K183" i="39"/>
  <c r="S183" i="39" s="1"/>
  <c r="N182" i="39"/>
  <c r="L182" i="39"/>
  <c r="K182" i="39"/>
  <c r="S182" i="39" s="1"/>
  <c r="A182" i="39"/>
  <c r="N181" i="39"/>
  <c r="L181" i="39"/>
  <c r="K181" i="39"/>
  <c r="S181" i="39" s="1"/>
  <c r="T181" i="39" s="1"/>
  <c r="N180" i="39"/>
  <c r="L180" i="39"/>
  <c r="K180" i="39"/>
  <c r="S180" i="39" s="1"/>
  <c r="N179" i="39"/>
  <c r="L179" i="39"/>
  <c r="K179" i="39"/>
  <c r="N178" i="39"/>
  <c r="L178" i="39"/>
  <c r="K178" i="39"/>
  <c r="S178" i="39" s="1"/>
  <c r="N177" i="39"/>
  <c r="L177" i="39"/>
  <c r="K177" i="39"/>
  <c r="N176" i="39"/>
  <c r="L176" i="39"/>
  <c r="K176" i="39"/>
  <c r="S176" i="39" s="1"/>
  <c r="A176" i="39"/>
  <c r="N175" i="39"/>
  <c r="L175" i="39"/>
  <c r="K175" i="39"/>
  <c r="N174" i="39"/>
  <c r="L174" i="39"/>
  <c r="K174" i="39"/>
  <c r="S174" i="39" s="1"/>
  <c r="T174" i="39" s="1"/>
  <c r="N173" i="39"/>
  <c r="L173" i="39"/>
  <c r="K173" i="39"/>
  <c r="N172" i="39"/>
  <c r="L172" i="39"/>
  <c r="K172" i="39"/>
  <c r="S172" i="39" s="1"/>
  <c r="N171" i="39"/>
  <c r="L171" i="39"/>
  <c r="K171" i="39"/>
  <c r="S171" i="39" s="1"/>
  <c r="N170" i="39"/>
  <c r="L170" i="39"/>
  <c r="K170" i="39"/>
  <c r="S170" i="39" s="1"/>
  <c r="A170" i="39"/>
  <c r="N169" i="39"/>
  <c r="L169" i="39"/>
  <c r="K169" i="39"/>
  <c r="S169" i="39" s="1"/>
  <c r="T169" i="39" s="1"/>
  <c r="N168" i="39"/>
  <c r="L168" i="39"/>
  <c r="K168" i="39"/>
  <c r="N167" i="39"/>
  <c r="L167" i="39"/>
  <c r="K167" i="39"/>
  <c r="N166" i="39"/>
  <c r="L166" i="39"/>
  <c r="K166" i="39"/>
  <c r="S166" i="39" s="1"/>
  <c r="N165" i="39"/>
  <c r="L165" i="39"/>
  <c r="K165" i="39"/>
  <c r="N164" i="39"/>
  <c r="L164" i="39"/>
  <c r="K164" i="39"/>
  <c r="S164" i="39" s="1"/>
  <c r="A164" i="39"/>
  <c r="N163" i="39"/>
  <c r="L163" i="39"/>
  <c r="K163" i="39"/>
  <c r="S163" i="39" s="1"/>
  <c r="N162" i="39"/>
  <c r="L162" i="39"/>
  <c r="K162" i="39"/>
  <c r="S162" i="39" s="1"/>
  <c r="N161" i="39"/>
  <c r="L161" i="39"/>
  <c r="K161" i="39"/>
  <c r="S161" i="39" s="1"/>
  <c r="N160" i="39"/>
  <c r="L160" i="39"/>
  <c r="K160" i="39"/>
  <c r="S160" i="39" s="1"/>
  <c r="N159" i="39"/>
  <c r="L159" i="39"/>
  <c r="K159" i="39"/>
  <c r="S159" i="39" s="1"/>
  <c r="N158" i="39"/>
  <c r="L158" i="39"/>
  <c r="K158" i="39"/>
  <c r="A158" i="39"/>
  <c r="N157" i="39"/>
  <c r="L157" i="39"/>
  <c r="K157" i="39"/>
  <c r="S157" i="39" s="1"/>
  <c r="T157" i="39" s="1"/>
  <c r="N156" i="39"/>
  <c r="L156" i="39"/>
  <c r="K156" i="39"/>
  <c r="N155" i="39"/>
  <c r="L155" i="39"/>
  <c r="K155" i="39"/>
  <c r="N154" i="39"/>
  <c r="L154" i="39"/>
  <c r="K154" i="39"/>
  <c r="N153" i="39"/>
  <c r="L153" i="39"/>
  <c r="K153" i="39"/>
  <c r="N152" i="39"/>
  <c r="L152" i="39"/>
  <c r="K152" i="39"/>
  <c r="S152" i="39" s="1"/>
  <c r="A152" i="39"/>
  <c r="N151" i="39"/>
  <c r="L151" i="39"/>
  <c r="K151" i="39"/>
  <c r="S151" i="39" s="1"/>
  <c r="N150" i="39"/>
  <c r="L150" i="39"/>
  <c r="K150" i="39"/>
  <c r="S150" i="39" s="1"/>
  <c r="N149" i="39"/>
  <c r="L149" i="39"/>
  <c r="K149" i="39"/>
  <c r="N148" i="39"/>
  <c r="L148" i="39"/>
  <c r="K148" i="39"/>
  <c r="S148" i="39" s="1"/>
  <c r="N147" i="39"/>
  <c r="L147" i="39"/>
  <c r="K147" i="39"/>
  <c r="S147" i="39" s="1"/>
  <c r="N146" i="39"/>
  <c r="L146" i="39"/>
  <c r="K146" i="39"/>
  <c r="A146" i="39"/>
  <c r="N145" i="39"/>
  <c r="L145" i="39"/>
  <c r="K145" i="39"/>
  <c r="N144" i="39"/>
  <c r="L144" i="39"/>
  <c r="K144" i="39"/>
  <c r="S144" i="39" s="1"/>
  <c r="N143" i="39"/>
  <c r="L143" i="39"/>
  <c r="K143" i="39"/>
  <c r="N142" i="39"/>
  <c r="L142" i="39"/>
  <c r="K142" i="39"/>
  <c r="S142" i="39" s="1"/>
  <c r="N141" i="39"/>
  <c r="L141" i="39"/>
  <c r="K141" i="39"/>
  <c r="S141" i="39" s="1"/>
  <c r="N140" i="39"/>
  <c r="L140" i="39"/>
  <c r="K140" i="39"/>
  <c r="S140" i="39" s="1"/>
  <c r="A140" i="39"/>
  <c r="N139" i="39"/>
  <c r="L139" i="39"/>
  <c r="K139" i="39"/>
  <c r="S139" i="39" s="1"/>
  <c r="I139" i="39"/>
  <c r="N138" i="39"/>
  <c r="L138" i="39"/>
  <c r="K138" i="39"/>
  <c r="S138" i="39" s="1"/>
  <c r="N137" i="39"/>
  <c r="L137" i="39"/>
  <c r="K137" i="39"/>
  <c r="S137" i="39" s="1"/>
  <c r="N136" i="39"/>
  <c r="L136" i="39"/>
  <c r="K136" i="39"/>
  <c r="S136" i="39" s="1"/>
  <c r="N135" i="39"/>
  <c r="L135" i="39"/>
  <c r="K135" i="39"/>
  <c r="N134" i="39"/>
  <c r="L134" i="39"/>
  <c r="K134" i="39"/>
  <c r="S134" i="39" s="1"/>
  <c r="A134" i="39"/>
  <c r="N133" i="39"/>
  <c r="L133" i="39"/>
  <c r="K133" i="39"/>
  <c r="I133" i="39"/>
  <c r="N132" i="39"/>
  <c r="L132" i="39"/>
  <c r="K132" i="39"/>
  <c r="S132" i="39" s="1"/>
  <c r="I132" i="39"/>
  <c r="N131" i="39"/>
  <c r="S131" i="39" s="1"/>
  <c r="L131" i="39"/>
  <c r="K131" i="39"/>
  <c r="I131" i="39"/>
  <c r="N130" i="39"/>
  <c r="L130" i="39"/>
  <c r="K130" i="39"/>
  <c r="S130" i="39" s="1"/>
  <c r="N129" i="39"/>
  <c r="L129" i="39"/>
  <c r="K129" i="39"/>
  <c r="S129" i="39" s="1"/>
  <c r="N128" i="39"/>
  <c r="L128" i="39"/>
  <c r="K128" i="39"/>
  <c r="A128" i="39"/>
  <c r="A188" i="9"/>
  <c r="A182" i="9"/>
  <c r="A176" i="9"/>
  <c r="A170" i="9"/>
  <c r="A164" i="9"/>
  <c r="A158" i="9"/>
  <c r="A152" i="9"/>
  <c r="A146" i="9"/>
  <c r="A140" i="9"/>
  <c r="N193" i="9"/>
  <c r="L193" i="9"/>
  <c r="K193" i="9"/>
  <c r="N192" i="9"/>
  <c r="L192" i="9"/>
  <c r="K192" i="9"/>
  <c r="S192" i="9" s="1"/>
  <c r="N191" i="9"/>
  <c r="L191" i="9"/>
  <c r="K191" i="9"/>
  <c r="N190" i="9"/>
  <c r="L190" i="9"/>
  <c r="K190" i="9"/>
  <c r="S190" i="9" s="1"/>
  <c r="N189" i="9"/>
  <c r="L189" i="9"/>
  <c r="K189" i="9"/>
  <c r="N188" i="9"/>
  <c r="L188" i="9"/>
  <c r="K188" i="9"/>
  <c r="S187" i="9"/>
  <c r="T187" i="9" s="1"/>
  <c r="N187" i="9"/>
  <c r="L187" i="9"/>
  <c r="K187" i="9"/>
  <c r="N186" i="9"/>
  <c r="L186" i="9"/>
  <c r="K186" i="9"/>
  <c r="S186" i="9" s="1"/>
  <c r="N185" i="9"/>
  <c r="L185" i="9"/>
  <c r="K185" i="9"/>
  <c r="S185" i="9" s="1"/>
  <c r="N184" i="9"/>
  <c r="L184" i="9"/>
  <c r="K184" i="9"/>
  <c r="S184" i="9" s="1"/>
  <c r="N183" i="9"/>
  <c r="L183" i="9"/>
  <c r="K183" i="9"/>
  <c r="N182" i="9"/>
  <c r="L182" i="9"/>
  <c r="K182" i="9"/>
  <c r="N181" i="9"/>
  <c r="L181" i="9"/>
  <c r="K181" i="9"/>
  <c r="N180" i="9"/>
  <c r="L180" i="9"/>
  <c r="K180" i="9"/>
  <c r="S180" i="9" s="1"/>
  <c r="N179" i="9"/>
  <c r="L179" i="9"/>
  <c r="K179" i="9"/>
  <c r="N178" i="9"/>
  <c r="L178" i="9"/>
  <c r="K178" i="9"/>
  <c r="S178" i="9" s="1"/>
  <c r="N177" i="9"/>
  <c r="L177" i="9"/>
  <c r="K177" i="9"/>
  <c r="S177" i="9" s="1"/>
  <c r="N176" i="9"/>
  <c r="L176" i="9"/>
  <c r="K176" i="9"/>
  <c r="N175" i="9"/>
  <c r="S175" i="9" s="1"/>
  <c r="L175" i="9"/>
  <c r="K175" i="9"/>
  <c r="N174" i="9"/>
  <c r="L174" i="9"/>
  <c r="K174" i="9"/>
  <c r="S174" i="9" s="1"/>
  <c r="N173" i="9"/>
  <c r="L173" i="9"/>
  <c r="K173" i="9"/>
  <c r="N172" i="9"/>
  <c r="L172" i="9"/>
  <c r="K172" i="9"/>
  <c r="N171" i="9"/>
  <c r="L171" i="9"/>
  <c r="K171" i="9"/>
  <c r="S171" i="9" s="1"/>
  <c r="N170" i="9"/>
  <c r="L170" i="9"/>
  <c r="K170" i="9"/>
  <c r="N169" i="9"/>
  <c r="L169" i="9"/>
  <c r="K169" i="9"/>
  <c r="N168" i="9"/>
  <c r="L168" i="9"/>
  <c r="K168" i="9"/>
  <c r="S168" i="9" s="1"/>
  <c r="N167" i="9"/>
  <c r="L167" i="9"/>
  <c r="K167" i="9"/>
  <c r="N166" i="9"/>
  <c r="L166" i="9"/>
  <c r="K166" i="9"/>
  <c r="N165" i="9"/>
  <c r="L165" i="9"/>
  <c r="K165" i="9"/>
  <c r="S165" i="9" s="1"/>
  <c r="N164" i="9"/>
  <c r="L164" i="9"/>
  <c r="K164" i="9"/>
  <c r="S163" i="9"/>
  <c r="N163" i="9"/>
  <c r="L163" i="9"/>
  <c r="K163" i="9"/>
  <c r="N162" i="9"/>
  <c r="L162" i="9"/>
  <c r="K162" i="9"/>
  <c r="S162" i="9" s="1"/>
  <c r="N161" i="9"/>
  <c r="L161" i="9"/>
  <c r="K161" i="9"/>
  <c r="S161" i="9" s="1"/>
  <c r="N160" i="9"/>
  <c r="L160" i="9"/>
  <c r="K160" i="9"/>
  <c r="N159" i="9"/>
  <c r="L159" i="9"/>
  <c r="K159" i="9"/>
  <c r="S159" i="9" s="1"/>
  <c r="N158" i="9"/>
  <c r="L158" i="9"/>
  <c r="K158" i="9"/>
  <c r="N157" i="9"/>
  <c r="L157" i="9"/>
  <c r="K157" i="9"/>
  <c r="I157" i="9"/>
  <c r="N156" i="9"/>
  <c r="L156" i="9"/>
  <c r="K156" i="9"/>
  <c r="S156" i="9" s="1"/>
  <c r="I156" i="9"/>
  <c r="N155" i="9"/>
  <c r="S155" i="9" s="1"/>
  <c r="L155" i="9"/>
  <c r="K155" i="9"/>
  <c r="I155" i="9"/>
  <c r="N154" i="9"/>
  <c r="L154" i="9"/>
  <c r="K154" i="9"/>
  <c r="S154" i="9" s="1"/>
  <c r="I154" i="9"/>
  <c r="N153" i="9"/>
  <c r="L153" i="9"/>
  <c r="K153" i="9"/>
  <c r="I153" i="9"/>
  <c r="N152" i="9"/>
  <c r="L152" i="9"/>
  <c r="K152" i="9"/>
  <c r="N151" i="9"/>
  <c r="L151" i="9"/>
  <c r="K151" i="9"/>
  <c r="I151" i="9"/>
  <c r="N150" i="9"/>
  <c r="L150" i="9"/>
  <c r="K150" i="9"/>
  <c r="I150" i="9"/>
  <c r="N149" i="9"/>
  <c r="L149" i="9"/>
  <c r="K149" i="9"/>
  <c r="S149" i="9" s="1"/>
  <c r="I149" i="9"/>
  <c r="N148" i="9"/>
  <c r="L148" i="9"/>
  <c r="K148" i="9"/>
  <c r="I148" i="9"/>
  <c r="N147" i="9"/>
  <c r="L147" i="9"/>
  <c r="K147" i="9"/>
  <c r="I147" i="9"/>
  <c r="N146" i="9"/>
  <c r="L146" i="9"/>
  <c r="K146" i="9"/>
  <c r="N145" i="9"/>
  <c r="L145" i="9"/>
  <c r="K145" i="9"/>
  <c r="S145" i="9" s="1"/>
  <c r="I145" i="9"/>
  <c r="N144" i="9"/>
  <c r="L144" i="9"/>
  <c r="K144" i="9"/>
  <c r="I144" i="9"/>
  <c r="N143" i="9"/>
  <c r="L143" i="9"/>
  <c r="K143" i="9"/>
  <c r="I143" i="9"/>
  <c r="N142" i="9"/>
  <c r="L142" i="9"/>
  <c r="K142" i="9"/>
  <c r="I142" i="9"/>
  <c r="N141" i="9"/>
  <c r="L141" i="9"/>
  <c r="K141" i="9"/>
  <c r="I141" i="9"/>
  <c r="N140" i="9"/>
  <c r="L140" i="9"/>
  <c r="K140" i="9"/>
  <c r="A134" i="9"/>
  <c r="N139" i="9"/>
  <c r="L139" i="9"/>
  <c r="K139" i="9"/>
  <c r="S139" i="9" s="1"/>
  <c r="I139" i="9"/>
  <c r="N138" i="9"/>
  <c r="L138" i="9"/>
  <c r="K138" i="9"/>
  <c r="S138" i="9" s="1"/>
  <c r="I138" i="9"/>
  <c r="L137" i="9"/>
  <c r="I137" i="9"/>
  <c r="N136" i="9"/>
  <c r="L136" i="9"/>
  <c r="K136" i="9"/>
  <c r="I136" i="9"/>
  <c r="N135" i="9"/>
  <c r="L135" i="9"/>
  <c r="K135" i="9"/>
  <c r="I135" i="9"/>
  <c r="N134" i="9"/>
  <c r="L134" i="9"/>
  <c r="K134" i="9"/>
  <c r="A128" i="9"/>
  <c r="N133" i="9"/>
  <c r="L133" i="9"/>
  <c r="K133" i="9"/>
  <c r="S133" i="9" s="1"/>
  <c r="I133" i="9"/>
  <c r="N132" i="9"/>
  <c r="L132" i="9"/>
  <c r="K132" i="9"/>
  <c r="S132" i="9" s="1"/>
  <c r="I132" i="9"/>
  <c r="N131" i="9"/>
  <c r="L131" i="9"/>
  <c r="K131" i="9"/>
  <c r="I131" i="9"/>
  <c r="N130" i="9"/>
  <c r="L130" i="9"/>
  <c r="K130" i="9"/>
  <c r="S130" i="9" s="1"/>
  <c r="I130" i="9"/>
  <c r="N129" i="9"/>
  <c r="L129" i="9"/>
  <c r="K129" i="9"/>
  <c r="I129" i="9"/>
  <c r="S193" i="9" l="1"/>
  <c r="S154" i="39"/>
  <c r="S144" i="9"/>
  <c r="S150" i="9"/>
  <c r="S160" i="9"/>
  <c r="S189" i="9"/>
  <c r="S155" i="39"/>
  <c r="S184" i="39"/>
  <c r="S166" i="9"/>
  <c r="S172" i="9"/>
  <c r="S128" i="39"/>
  <c r="S133" i="39"/>
  <c r="T133" i="39" s="1"/>
  <c r="S146" i="39"/>
  <c r="S156" i="39"/>
  <c r="T156" i="39" s="1"/>
  <c r="U156" i="39" s="1"/>
  <c r="S165" i="39"/>
  <c r="S175" i="39"/>
  <c r="S179" i="39"/>
  <c r="S151" i="9"/>
  <c r="T151" i="9" s="1"/>
  <c r="U151" i="9" s="1"/>
  <c r="S167" i="9"/>
  <c r="S191" i="9"/>
  <c r="S167" i="39"/>
  <c r="S190" i="39"/>
  <c r="T190" i="39" s="1"/>
  <c r="U190" i="39" s="1"/>
  <c r="S173" i="9"/>
  <c r="T173" i="9" s="1"/>
  <c r="U173" i="9" s="1"/>
  <c r="S179" i="9"/>
  <c r="T179" i="9" s="1"/>
  <c r="U179" i="9" s="1"/>
  <c r="S143" i="39"/>
  <c r="U143" i="39" s="1"/>
  <c r="S131" i="9"/>
  <c r="T131" i="9" s="1"/>
  <c r="U131" i="9" s="1"/>
  <c r="S169" i="9"/>
  <c r="T169" i="9" s="1"/>
  <c r="U169" i="9" s="1"/>
  <c r="S149" i="39"/>
  <c r="T149" i="39" s="1"/>
  <c r="U149" i="39" s="1"/>
  <c r="S153" i="39"/>
  <c r="U153" i="39" s="1"/>
  <c r="S168" i="39"/>
  <c r="S187" i="39"/>
  <c r="T187" i="39" s="1"/>
  <c r="U187" i="39" s="1"/>
  <c r="S143" i="9"/>
  <c r="S153" i="9"/>
  <c r="S157" i="9"/>
  <c r="S181" i="9"/>
  <c r="S135" i="39"/>
  <c r="T135" i="39" s="1"/>
  <c r="U135" i="39" s="1"/>
  <c r="S145" i="39"/>
  <c r="S158" i="39"/>
  <c r="S173" i="39"/>
  <c r="S177" i="39"/>
  <c r="T177" i="39" s="1"/>
  <c r="U177" i="39" s="1"/>
  <c r="S192" i="39"/>
  <c r="T192" i="39" s="1"/>
  <c r="U192" i="39" s="1"/>
  <c r="S158" i="9"/>
  <c r="S164" i="9"/>
  <c r="S170" i="9"/>
  <c r="S176" i="9"/>
  <c r="S188" i="9"/>
  <c r="T131" i="39"/>
  <c r="U131" i="39"/>
  <c r="T143" i="39"/>
  <c r="T138" i="39"/>
  <c r="U138" i="39" s="1"/>
  <c r="T167" i="39"/>
  <c r="U167" i="39"/>
  <c r="T175" i="39"/>
  <c r="U175" i="39" s="1"/>
  <c r="T142" i="39"/>
  <c r="U142" i="39" s="1"/>
  <c r="T139" i="39"/>
  <c r="U139" i="39" s="1"/>
  <c r="U186" i="39"/>
  <c r="T132" i="39"/>
  <c r="U132" i="39" s="1"/>
  <c r="T161" i="39"/>
  <c r="U161" i="39" s="1"/>
  <c r="T186" i="39"/>
  <c r="T172" i="39"/>
  <c r="U172" i="39"/>
  <c r="T183" i="39"/>
  <c r="U183" i="39" s="1"/>
  <c r="T150" i="39"/>
  <c r="U150" i="39" s="1"/>
  <c r="T180" i="39"/>
  <c r="U180" i="39" s="1"/>
  <c r="T137" i="39"/>
  <c r="U137" i="39" s="1"/>
  <c r="T184" i="39"/>
  <c r="U184" i="39"/>
  <c r="U133" i="39"/>
  <c r="T144" i="39"/>
  <c r="U144" i="39" s="1"/>
  <c r="T163" i="39"/>
  <c r="U163" i="39"/>
  <c r="T185" i="39"/>
  <c r="U185" i="39" s="1"/>
  <c r="U181" i="39"/>
  <c r="T160" i="39"/>
  <c r="U160" i="39" s="1"/>
  <c r="T178" i="39"/>
  <c r="U178" i="39" s="1"/>
  <c r="T171" i="39"/>
  <c r="U171" i="39" s="1"/>
  <c r="T189" i="39"/>
  <c r="U189" i="39"/>
  <c r="U193" i="39"/>
  <c r="T168" i="39"/>
  <c r="U168" i="39"/>
  <c r="T153" i="39"/>
  <c r="U157" i="39"/>
  <c r="T136" i="39"/>
  <c r="U136" i="39" s="1"/>
  <c r="T179" i="39"/>
  <c r="U179" i="39" s="1"/>
  <c r="T154" i="39"/>
  <c r="U154" i="39" s="1"/>
  <c r="T129" i="39"/>
  <c r="U129" i="39" s="1"/>
  <c r="T147" i="39"/>
  <c r="U147" i="39" s="1"/>
  <c r="T151" i="39"/>
  <c r="U151" i="39" s="1"/>
  <c r="T165" i="39"/>
  <c r="U165" i="39" s="1"/>
  <c r="T173" i="39"/>
  <c r="U173" i="39" s="1"/>
  <c r="U169" i="39"/>
  <c r="T191" i="39"/>
  <c r="U191" i="39" s="1"/>
  <c r="T162" i="39"/>
  <c r="U162" i="39" s="1"/>
  <c r="T130" i="39"/>
  <c r="U130" i="39" s="1"/>
  <c r="T148" i="39"/>
  <c r="U148" i="39" s="1"/>
  <c r="T166" i="39"/>
  <c r="U166" i="39" s="1"/>
  <c r="T159" i="39"/>
  <c r="U159" i="39" s="1"/>
  <c r="T141" i="39"/>
  <c r="U141" i="39" s="1"/>
  <c r="U174" i="39"/>
  <c r="T190" i="9"/>
  <c r="U190" i="9" s="1"/>
  <c r="T191" i="9"/>
  <c r="U191" i="9" s="1"/>
  <c r="T192" i="9"/>
  <c r="U192" i="9" s="1"/>
  <c r="T193" i="9"/>
  <c r="U193" i="9" s="1"/>
  <c r="T189" i="9"/>
  <c r="U189" i="9" s="1"/>
  <c r="U184" i="9"/>
  <c r="T184" i="9"/>
  <c r="T185" i="9"/>
  <c r="U185" i="9" s="1"/>
  <c r="T186" i="9"/>
  <c r="U186" i="9" s="1"/>
  <c r="U187" i="9"/>
  <c r="T178" i="9"/>
  <c r="U178" i="9" s="1"/>
  <c r="T180" i="9"/>
  <c r="U180" i="9" s="1"/>
  <c r="T181" i="9"/>
  <c r="U181" i="9" s="1"/>
  <c r="T177" i="9"/>
  <c r="U177" i="9" s="1"/>
  <c r="T171" i="9"/>
  <c r="U171" i="9" s="1"/>
  <c r="T172" i="9"/>
  <c r="U172" i="9" s="1"/>
  <c r="T174" i="9"/>
  <c r="U174" i="9" s="1"/>
  <c r="T175" i="9"/>
  <c r="U175" i="9" s="1"/>
  <c r="T166" i="9"/>
  <c r="U166" i="9" s="1"/>
  <c r="T167" i="9"/>
  <c r="U167" i="9" s="1"/>
  <c r="T168" i="9"/>
  <c r="U168" i="9" s="1"/>
  <c r="T165" i="9"/>
  <c r="U165" i="9"/>
  <c r="T160" i="9"/>
  <c r="U160" i="9" s="1"/>
  <c r="T161" i="9"/>
  <c r="U161" i="9" s="1"/>
  <c r="T159" i="9"/>
  <c r="U159" i="9" s="1"/>
  <c r="T162" i="9"/>
  <c r="U162" i="9" s="1"/>
  <c r="T163" i="9"/>
  <c r="U163" i="9" s="1"/>
  <c r="T154" i="9"/>
  <c r="U154" i="9" s="1"/>
  <c r="T155" i="9"/>
  <c r="U155" i="9" s="1"/>
  <c r="T156" i="9"/>
  <c r="U156" i="9"/>
  <c r="T153" i="9"/>
  <c r="U153" i="9" s="1"/>
  <c r="T157" i="9"/>
  <c r="U157" i="9" s="1"/>
  <c r="T149" i="9"/>
  <c r="U149" i="9" s="1"/>
  <c r="T150" i="9"/>
  <c r="U150" i="9" s="1"/>
  <c r="T145" i="9"/>
  <c r="U145" i="9" s="1"/>
  <c r="T143" i="9"/>
  <c r="U143" i="9" s="1"/>
  <c r="T144" i="9"/>
  <c r="U144" i="9" s="1"/>
  <c r="T138" i="9"/>
  <c r="U138" i="9" s="1"/>
  <c r="T139" i="9"/>
  <c r="U139" i="9" s="1"/>
  <c r="T133" i="9"/>
  <c r="U133" i="9" s="1"/>
  <c r="T130" i="9"/>
  <c r="U130" i="9" s="1"/>
  <c r="T132" i="9"/>
  <c r="U132" i="9"/>
  <c r="L39" i="15"/>
  <c r="K39" i="15"/>
  <c r="I39" i="15"/>
  <c r="H39" i="15"/>
  <c r="D39" i="15"/>
  <c r="F39" i="15" s="1"/>
  <c r="L38" i="15"/>
  <c r="K38" i="15"/>
  <c r="I38" i="15"/>
  <c r="H38" i="15"/>
  <c r="D38" i="15"/>
  <c r="E38" i="15" s="1"/>
  <c r="L37" i="15"/>
  <c r="K37" i="15"/>
  <c r="I37" i="15"/>
  <c r="H37" i="15"/>
  <c r="D37" i="15"/>
  <c r="F37" i="15" s="1"/>
  <c r="L36" i="15"/>
  <c r="K36" i="15"/>
  <c r="I36" i="15"/>
  <c r="H36" i="15"/>
  <c r="D36" i="15"/>
  <c r="F36" i="15" s="1"/>
  <c r="L35" i="15"/>
  <c r="K35" i="15"/>
  <c r="I35" i="15"/>
  <c r="H35" i="15"/>
  <c r="D35" i="15"/>
  <c r="E35" i="15" s="1"/>
  <c r="L34" i="15"/>
  <c r="K34" i="15"/>
  <c r="I34" i="15"/>
  <c r="H34" i="15"/>
  <c r="M34" i="15" s="1"/>
  <c r="D34" i="15"/>
  <c r="E34" i="15" s="1"/>
  <c r="L33" i="15"/>
  <c r="K33" i="15"/>
  <c r="I33" i="15"/>
  <c r="H33" i="15"/>
  <c r="D33" i="15"/>
  <c r="F33" i="15" s="1"/>
  <c r="L32" i="15"/>
  <c r="K32" i="15"/>
  <c r="I32" i="15"/>
  <c r="H32" i="15"/>
  <c r="D32" i="15"/>
  <c r="F32" i="15" s="1"/>
  <c r="L31" i="15"/>
  <c r="K31" i="15"/>
  <c r="I31" i="15"/>
  <c r="H31" i="15"/>
  <c r="M31" i="15" s="1"/>
  <c r="D31" i="15"/>
  <c r="E31" i="15" s="1"/>
  <c r="L30" i="15"/>
  <c r="K30" i="15"/>
  <c r="I30" i="15"/>
  <c r="H30" i="15"/>
  <c r="D30" i="15"/>
  <c r="E30" i="15" s="1"/>
  <c r="L29" i="15"/>
  <c r="K29" i="15"/>
  <c r="I29" i="15"/>
  <c r="H29" i="15"/>
  <c r="D29" i="15"/>
  <c r="E29" i="15" s="1"/>
  <c r="E39" i="30"/>
  <c r="J38" i="30"/>
  <c r="J39" i="30"/>
  <c r="J40" i="30"/>
  <c r="J41" i="30"/>
  <c r="E38" i="30"/>
  <c r="D38" i="30"/>
  <c r="B39" i="15" l="1"/>
  <c r="B39" i="35"/>
  <c r="B188" i="9"/>
  <c r="B188" i="39"/>
  <c r="V182" i="9" a="1"/>
  <c r="V182" i="9" s="1"/>
  <c r="D38" i="35" s="1"/>
  <c r="F38" i="35" s="1"/>
  <c r="C140" i="9"/>
  <c r="C140" i="39"/>
  <c r="T140" i="39" s="1"/>
  <c r="U140" i="39" s="1"/>
  <c r="C158" i="9"/>
  <c r="C34" i="35" s="1"/>
  <c r="E34" i="35" s="1"/>
  <c r="C158" i="39"/>
  <c r="T158" i="39" s="1"/>
  <c r="U158" i="39" s="1"/>
  <c r="M37" i="15"/>
  <c r="C128" i="9"/>
  <c r="C128" i="39"/>
  <c r="T128" i="39" s="1"/>
  <c r="U128" i="39" s="1"/>
  <c r="C164" i="39"/>
  <c r="T164" i="39" s="1"/>
  <c r="U164" i="39" s="1"/>
  <c r="C164" i="9"/>
  <c r="C182" i="39"/>
  <c r="C182" i="9"/>
  <c r="C38" i="35" s="1"/>
  <c r="E38" i="35" s="1"/>
  <c r="T145" i="39"/>
  <c r="U145" i="39"/>
  <c r="T158" i="9"/>
  <c r="U158" i="9" s="1"/>
  <c r="V158" i="9" s="1" a="1"/>
  <c r="V158" i="9" s="1"/>
  <c r="D34" i="35" s="1"/>
  <c r="F34" i="35" s="1"/>
  <c r="G34" i="35" s="1"/>
  <c r="C134" i="39"/>
  <c r="T134" i="39" s="1"/>
  <c r="U134" i="39" s="1"/>
  <c r="C134" i="9"/>
  <c r="N31" i="15"/>
  <c r="V140" i="39"/>
  <c r="D140" i="9"/>
  <c r="D140" i="39"/>
  <c r="N34" i="15"/>
  <c r="D158" i="39"/>
  <c r="V158" i="39"/>
  <c r="D158" i="9"/>
  <c r="B38" i="35"/>
  <c r="B182" i="39"/>
  <c r="B182" i="9"/>
  <c r="M30" i="15"/>
  <c r="M33" i="15"/>
  <c r="M36" i="15"/>
  <c r="M39" i="15"/>
  <c r="T155" i="39"/>
  <c r="U155" i="39" s="1"/>
  <c r="V146" i="9" a="1"/>
  <c r="V146" i="9" s="1"/>
  <c r="D32" i="35" s="1"/>
  <c r="F32" i="35" s="1"/>
  <c r="V134" i="9" a="1"/>
  <c r="V134" i="9" s="1"/>
  <c r="D30" i="35" s="1"/>
  <c r="F30" i="35" s="1"/>
  <c r="M29" i="15"/>
  <c r="M32" i="15"/>
  <c r="M35" i="15"/>
  <c r="M38" i="15"/>
  <c r="B38" i="15"/>
  <c r="F30" i="15"/>
  <c r="F31" i="15"/>
  <c r="F35" i="15"/>
  <c r="F38" i="15"/>
  <c r="E39" i="15"/>
  <c r="F34" i="15"/>
  <c r="E36" i="31" s="1"/>
  <c r="E33" i="15"/>
  <c r="F29" i="15"/>
  <c r="E32" i="15"/>
  <c r="E37" i="15"/>
  <c r="E36" i="15"/>
  <c r="G38" i="35" l="1"/>
  <c r="C152" i="39"/>
  <c r="T152" i="39" s="1"/>
  <c r="U152" i="39" s="1"/>
  <c r="C152" i="9"/>
  <c r="C188" i="9"/>
  <c r="C188" i="39"/>
  <c r="T188" i="39" s="1"/>
  <c r="U188" i="39" s="1"/>
  <c r="C29" i="35"/>
  <c r="E29" i="35" s="1"/>
  <c r="V128" i="9" a="1"/>
  <c r="V128" i="9" s="1"/>
  <c r="D29" i="35" s="1"/>
  <c r="F29" i="35" s="1"/>
  <c r="E33" i="31"/>
  <c r="N39" i="15"/>
  <c r="V188" i="39"/>
  <c r="D188" i="39"/>
  <c r="D188" i="9"/>
  <c r="N37" i="15"/>
  <c r="E39" i="31" s="1"/>
  <c r="D176" i="9"/>
  <c r="D176" i="39"/>
  <c r="V176" i="39"/>
  <c r="N36" i="15"/>
  <c r="E38" i="31" s="1"/>
  <c r="V170" i="39"/>
  <c r="D170" i="9"/>
  <c r="D170" i="39"/>
  <c r="C30" i="35"/>
  <c r="E30" i="35" s="1"/>
  <c r="N33" i="15"/>
  <c r="E35" i="31" s="1"/>
  <c r="D152" i="9"/>
  <c r="V152" i="39"/>
  <c r="D152" i="39"/>
  <c r="N38" i="15"/>
  <c r="E40" i="31" s="1"/>
  <c r="D182" i="39"/>
  <c r="D182" i="9"/>
  <c r="V182" i="39"/>
  <c r="N30" i="15"/>
  <c r="E32" i="31" s="1"/>
  <c r="D134" i="39"/>
  <c r="V134" i="39"/>
  <c r="D134" i="9"/>
  <c r="N35" i="15"/>
  <c r="E37" i="31" s="1"/>
  <c r="D164" i="9"/>
  <c r="V164" i="39"/>
  <c r="D164" i="39"/>
  <c r="N32" i="15"/>
  <c r="E34" i="31" s="1"/>
  <c r="D146" i="9"/>
  <c r="V146" i="39"/>
  <c r="D146" i="39"/>
  <c r="C31" i="35"/>
  <c r="E31" i="35" s="1"/>
  <c r="V140" i="9" a="1"/>
  <c r="V140" i="9" s="1"/>
  <c r="D31" i="35" s="1"/>
  <c r="F31" i="35" s="1"/>
  <c r="N29" i="15"/>
  <c r="E31" i="31" s="1"/>
  <c r="D128" i="9"/>
  <c r="D128" i="39"/>
  <c r="V128" i="39"/>
  <c r="G30" i="35"/>
  <c r="C170" i="9"/>
  <c r="C170" i="39"/>
  <c r="T170" i="39" s="1"/>
  <c r="U170" i="39" s="1"/>
  <c r="C176" i="9"/>
  <c r="C176" i="39"/>
  <c r="T176" i="39" s="1"/>
  <c r="U176" i="39" s="1"/>
  <c r="C146" i="9"/>
  <c r="C146" i="39"/>
  <c r="T182" i="39"/>
  <c r="U182" i="39"/>
  <c r="C35" i="35"/>
  <c r="E35" i="35" s="1"/>
  <c r="T164" i="9"/>
  <c r="U164" i="9" s="1"/>
  <c r="V164" i="9" s="1" a="1"/>
  <c r="V164" i="9" s="1"/>
  <c r="D35" i="35" s="1"/>
  <c r="F35" i="35" s="1"/>
  <c r="K14" i="9"/>
  <c r="K15" i="9"/>
  <c r="I10" i="9"/>
  <c r="K10" i="9"/>
  <c r="L10" i="9"/>
  <c r="N10" i="9"/>
  <c r="K11" i="9"/>
  <c r="S11" i="9" s="1"/>
  <c r="L11" i="9"/>
  <c r="N11" i="9"/>
  <c r="G29" i="35" l="1"/>
  <c r="G31" i="35"/>
  <c r="G35" i="35"/>
  <c r="C36" i="35"/>
  <c r="E36" i="35" s="1"/>
  <c r="T170" i="9"/>
  <c r="U170" i="9" s="1"/>
  <c r="V170" i="9" s="1" a="1"/>
  <c r="V170" i="9" s="1"/>
  <c r="D36" i="35" s="1"/>
  <c r="F36" i="35" s="1"/>
  <c r="G36" i="35" s="1"/>
  <c r="C33" i="35"/>
  <c r="E33" i="35" s="1"/>
  <c r="V152" i="9" a="1"/>
  <c r="V152" i="9" s="1"/>
  <c r="D33" i="35" s="1"/>
  <c r="F33" i="35" s="1"/>
  <c r="G33" i="35" s="1"/>
  <c r="T146" i="39"/>
  <c r="U146" i="39"/>
  <c r="C32" i="35"/>
  <c r="E32" i="35" s="1"/>
  <c r="G32" i="35" s="1"/>
  <c r="C39" i="35"/>
  <c r="E39" i="35" s="1"/>
  <c r="T188" i="9"/>
  <c r="U188" i="9" s="1"/>
  <c r="V188" i="9" s="1" a="1"/>
  <c r="V188" i="9" s="1"/>
  <c r="D39" i="35" s="1"/>
  <c r="F39" i="35" s="1"/>
  <c r="C37" i="35"/>
  <c r="E37" i="35" s="1"/>
  <c r="T176" i="9"/>
  <c r="U176" i="9" s="1"/>
  <c r="V176" i="9" s="1" a="1"/>
  <c r="V176" i="9" s="1"/>
  <c r="D37" i="35" s="1"/>
  <c r="F37" i="35" s="1"/>
  <c r="S10" i="9"/>
  <c r="G37" i="35" l="1"/>
  <c r="G39" i="35"/>
  <c r="J29" i="30"/>
  <c r="J30" i="30"/>
  <c r="J31" i="30"/>
  <c r="J32" i="30"/>
  <c r="J33" i="30"/>
  <c r="J34" i="30"/>
  <c r="J35" i="30"/>
  <c r="J36" i="30"/>
  <c r="J37" i="30"/>
  <c r="E37" i="30"/>
  <c r="D37" i="30"/>
  <c r="E36" i="30"/>
  <c r="D36" i="30"/>
  <c r="E35" i="30"/>
  <c r="D35" i="30"/>
  <c r="E34" i="30"/>
  <c r="D34" i="30"/>
  <c r="E33" i="30"/>
  <c r="D33" i="30"/>
  <c r="E32" i="30"/>
  <c r="D32" i="30"/>
  <c r="E31" i="30"/>
  <c r="D31" i="30"/>
  <c r="E30" i="30"/>
  <c r="D30" i="30"/>
  <c r="E29" i="30"/>
  <c r="D29" i="30"/>
  <c r="B158" i="9" l="1"/>
  <c r="B34" i="35"/>
  <c r="B158" i="39"/>
  <c r="B170" i="9"/>
  <c r="B170" i="39"/>
  <c r="B36" i="35"/>
  <c r="B33" i="35"/>
  <c r="B152" i="39"/>
  <c r="B152" i="9"/>
  <c r="B146" i="9"/>
  <c r="B146" i="39"/>
  <c r="B32" i="35"/>
  <c r="B31" i="35"/>
  <c r="B140" i="39"/>
  <c r="B140" i="9"/>
  <c r="B134" i="39"/>
  <c r="B134" i="9"/>
  <c r="B30" i="35"/>
  <c r="B128" i="9"/>
  <c r="B29" i="35"/>
  <c r="B128" i="39"/>
  <c r="B176" i="39"/>
  <c r="B176" i="9"/>
  <c r="B37" i="35"/>
  <c r="B35" i="35"/>
  <c r="B164" i="9"/>
  <c r="B164" i="39"/>
  <c r="B36" i="15"/>
  <c r="B35" i="15"/>
  <c r="B31" i="15"/>
  <c r="B32" i="15"/>
  <c r="B34" i="15"/>
  <c r="B30" i="15"/>
  <c r="B37" i="15"/>
  <c r="B33" i="15"/>
  <c r="B29" i="15"/>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I8" i="39"/>
  <c r="I9" i="39"/>
  <c r="I10" i="39"/>
  <c r="N127" i="39"/>
  <c r="K127" i="39"/>
  <c r="I127" i="39"/>
  <c r="N126" i="39"/>
  <c r="K126" i="39"/>
  <c r="I126" i="39"/>
  <c r="N125" i="39"/>
  <c r="K125" i="39"/>
  <c r="I125" i="39"/>
  <c r="N124" i="39"/>
  <c r="K124" i="39"/>
  <c r="N123" i="39"/>
  <c r="K123" i="39"/>
  <c r="N122" i="39"/>
  <c r="K122" i="39"/>
  <c r="S122" i="39" s="1"/>
  <c r="A122" i="39"/>
  <c r="N121" i="39"/>
  <c r="K121" i="39"/>
  <c r="I121" i="39"/>
  <c r="N120" i="39"/>
  <c r="K120" i="39"/>
  <c r="I120" i="39"/>
  <c r="N119" i="39"/>
  <c r="K119" i="39"/>
  <c r="I119" i="39"/>
  <c r="N118" i="39"/>
  <c r="K118" i="39"/>
  <c r="I118" i="39"/>
  <c r="N117" i="39"/>
  <c r="K117" i="39"/>
  <c r="N116" i="39"/>
  <c r="K116" i="39"/>
  <c r="A116" i="39"/>
  <c r="N115" i="39"/>
  <c r="K115" i="39"/>
  <c r="I115" i="39"/>
  <c r="N114" i="39"/>
  <c r="K114" i="39"/>
  <c r="I114" i="39"/>
  <c r="N113" i="39"/>
  <c r="K113" i="39"/>
  <c r="S113" i="39" s="1"/>
  <c r="I113" i="39"/>
  <c r="N112" i="39"/>
  <c r="K112" i="39"/>
  <c r="I112" i="39"/>
  <c r="N111" i="39"/>
  <c r="K111" i="39"/>
  <c r="I111" i="39"/>
  <c r="N110" i="39"/>
  <c r="K110" i="39"/>
  <c r="A110" i="39"/>
  <c r="N109" i="39"/>
  <c r="K109" i="39"/>
  <c r="I109" i="39"/>
  <c r="N108" i="39"/>
  <c r="K108" i="39"/>
  <c r="I108" i="39"/>
  <c r="N107" i="39"/>
  <c r="K107" i="39"/>
  <c r="I107" i="39"/>
  <c r="N106" i="39"/>
  <c r="K106" i="39"/>
  <c r="I106" i="39"/>
  <c r="N105" i="39"/>
  <c r="K105" i="39"/>
  <c r="N104" i="39"/>
  <c r="K104" i="39"/>
  <c r="A104" i="39"/>
  <c r="N103" i="39"/>
  <c r="K103" i="39"/>
  <c r="I103" i="39"/>
  <c r="N102" i="39"/>
  <c r="K102" i="39"/>
  <c r="I102" i="39"/>
  <c r="N101" i="39"/>
  <c r="K101" i="39"/>
  <c r="I101" i="39"/>
  <c r="N100" i="39"/>
  <c r="K100" i="39"/>
  <c r="I100" i="39"/>
  <c r="N99" i="39"/>
  <c r="K99" i="39"/>
  <c r="I99" i="39"/>
  <c r="N98" i="39"/>
  <c r="K98" i="39"/>
  <c r="S98" i="39" s="1"/>
  <c r="I98" i="39"/>
  <c r="A98" i="39"/>
  <c r="N97" i="39"/>
  <c r="K97" i="39"/>
  <c r="I97" i="39"/>
  <c r="N96" i="39"/>
  <c r="K96" i="39"/>
  <c r="S96" i="39" s="1"/>
  <c r="I96" i="39"/>
  <c r="N95" i="39"/>
  <c r="K95" i="39"/>
  <c r="I95" i="39"/>
  <c r="N94" i="39"/>
  <c r="K94" i="39"/>
  <c r="I94" i="39"/>
  <c r="N93" i="39"/>
  <c r="K93" i="39"/>
  <c r="S93" i="39" s="1"/>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S76" i="39" s="1"/>
  <c r="I76" i="39"/>
  <c r="N75" i="39"/>
  <c r="K75" i="39"/>
  <c r="I75" i="39"/>
  <c r="N74" i="39"/>
  <c r="K74" i="39"/>
  <c r="I74" i="39"/>
  <c r="A74" i="39"/>
  <c r="N73" i="39"/>
  <c r="K73" i="39"/>
  <c r="I73" i="39"/>
  <c r="N72" i="39"/>
  <c r="K72" i="39"/>
  <c r="I72" i="39"/>
  <c r="N71" i="39"/>
  <c r="K71" i="39"/>
  <c r="I71" i="39"/>
  <c r="N70" i="39"/>
  <c r="K70" i="39"/>
  <c r="S70" i="39" s="1"/>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S61" i="39" s="1"/>
  <c r="I61" i="39"/>
  <c r="N60" i="39"/>
  <c r="K60" i="39"/>
  <c r="S60" i="39" s="1"/>
  <c r="I60" i="39"/>
  <c r="N59" i="39"/>
  <c r="K59" i="39"/>
  <c r="I59" i="39"/>
  <c r="N58" i="39"/>
  <c r="K58" i="39"/>
  <c r="I58" i="39"/>
  <c r="N57" i="39"/>
  <c r="K57" i="39"/>
  <c r="I57" i="39"/>
  <c r="N56" i="39"/>
  <c r="K56" i="39"/>
  <c r="S56" i="39" s="1"/>
  <c r="I56" i="39"/>
  <c r="A56" i="39"/>
  <c r="N55" i="39"/>
  <c r="K55" i="39"/>
  <c r="I55" i="39"/>
  <c r="N54" i="39"/>
  <c r="K54" i="39"/>
  <c r="S54" i="39" s="1"/>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S38" i="39" s="1"/>
  <c r="I38" i="39"/>
  <c r="A38" i="39"/>
  <c r="N37" i="39"/>
  <c r="K37" i="39"/>
  <c r="I37" i="39"/>
  <c r="N36" i="39"/>
  <c r="K36" i="39"/>
  <c r="I36" i="39"/>
  <c r="N35" i="39"/>
  <c r="K35" i="39"/>
  <c r="I35" i="39"/>
  <c r="N34" i="39"/>
  <c r="K34" i="39"/>
  <c r="S34" i="39" s="1"/>
  <c r="I34" i="39"/>
  <c r="N33" i="39"/>
  <c r="K33" i="39"/>
  <c r="I33" i="39"/>
  <c r="N32" i="39"/>
  <c r="K32" i="39"/>
  <c r="I32" i="39"/>
  <c r="A32" i="39"/>
  <c r="N31" i="39"/>
  <c r="K31" i="39"/>
  <c r="I31" i="39"/>
  <c r="N30" i="39"/>
  <c r="K30" i="39"/>
  <c r="I30" i="39"/>
  <c r="N29" i="39"/>
  <c r="K29" i="39"/>
  <c r="I29" i="39"/>
  <c r="N28" i="39"/>
  <c r="K28" i="39"/>
  <c r="I28" i="39"/>
  <c r="N27" i="39"/>
  <c r="K27" i="39"/>
  <c r="I27" i="39"/>
  <c r="N26" i="39"/>
  <c r="K26" i="39"/>
  <c r="S26" i="39" s="1"/>
  <c r="I26" i="39"/>
  <c r="A26" i="39"/>
  <c r="N25" i="39"/>
  <c r="K25" i="39"/>
  <c r="S25" i="39" s="1"/>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S14" i="39" s="1"/>
  <c r="I14" i="39"/>
  <c r="A14" i="39"/>
  <c r="N13" i="39"/>
  <c r="K13" i="39"/>
  <c r="I13" i="39"/>
  <c r="N12" i="39"/>
  <c r="K12" i="39"/>
  <c r="I12" i="39"/>
  <c r="N11" i="39"/>
  <c r="K11" i="39"/>
  <c r="I11" i="39"/>
  <c r="N10" i="39"/>
  <c r="K10" i="39"/>
  <c r="A8" i="39"/>
  <c r="B4" i="39"/>
  <c r="B3" i="39"/>
  <c r="H2" i="39"/>
  <c r="G2" i="39"/>
  <c r="D2" i="39"/>
  <c r="C2" i="39"/>
  <c r="H1" i="39"/>
  <c r="G1" i="39"/>
  <c r="B1" i="39"/>
  <c r="S24" i="39" l="1"/>
  <c r="S92" i="39"/>
  <c r="S50" i="39"/>
  <c r="S90" i="39"/>
  <c r="S86" i="39"/>
  <c r="S106" i="39"/>
  <c r="T106" i="39" s="1"/>
  <c r="U106" i="39" s="1"/>
  <c r="S126" i="39"/>
  <c r="S57" i="39"/>
  <c r="T57" i="39" s="1"/>
  <c r="U57" i="39" s="1"/>
  <c r="S77" i="39"/>
  <c r="S97" i="39"/>
  <c r="T97" i="39" s="1"/>
  <c r="U97" i="39" s="1"/>
  <c r="S62" i="39"/>
  <c r="S10" i="39"/>
  <c r="S121" i="39"/>
  <c r="T121" i="39" s="1"/>
  <c r="U121" i="39" s="1"/>
  <c r="S15" i="39"/>
  <c r="S19" i="39"/>
  <c r="S35" i="39"/>
  <c r="T35" i="39" s="1"/>
  <c r="U35" i="39" s="1"/>
  <c r="S51" i="39"/>
  <c r="T51" i="39" s="1"/>
  <c r="U51" i="39" s="1"/>
  <c r="S55" i="39"/>
  <c r="T55" i="39" s="1"/>
  <c r="U55" i="39" s="1"/>
  <c r="S71" i="39"/>
  <c r="T71" i="39" s="1"/>
  <c r="U71" i="39" s="1"/>
  <c r="S87" i="39"/>
  <c r="T87" i="39" s="1"/>
  <c r="U87" i="39" s="1"/>
  <c r="S91" i="39"/>
  <c r="T91" i="39" s="1"/>
  <c r="U91" i="39" s="1"/>
  <c r="S107" i="39"/>
  <c r="T107" i="39" s="1"/>
  <c r="U107" i="39" s="1"/>
  <c r="S123" i="39"/>
  <c r="T123" i="39" s="1"/>
  <c r="U123" i="39" s="1"/>
  <c r="S127" i="39"/>
  <c r="T127" i="39" s="1"/>
  <c r="U127" i="39" s="1"/>
  <c r="S74" i="39"/>
  <c r="S94" i="39"/>
  <c r="S110" i="39"/>
  <c r="S114" i="39"/>
  <c r="T114" i="39" s="1"/>
  <c r="U114" i="39" s="1"/>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83" i="39"/>
  <c r="T83" i="39" s="1"/>
  <c r="U83" i="39" s="1"/>
  <c r="T108" i="39"/>
  <c r="U108" i="39" s="1"/>
  <c r="T113" i="39"/>
  <c r="U113" i="39" s="1"/>
  <c r="T77" i="39"/>
  <c r="U77" i="39" s="1"/>
  <c r="T61" i="39"/>
  <c r="U61" i="39" s="1"/>
  <c r="T93" i="39"/>
  <c r="U93" i="39" s="1"/>
  <c r="T96" i="39"/>
  <c r="U96" i="39" s="1"/>
  <c r="T33" i="39"/>
  <c r="U33" i="39" s="1"/>
  <c r="T54" i="39"/>
  <c r="U54" i="39" s="1"/>
  <c r="T24" i="39"/>
  <c r="U24" i="39" s="1"/>
  <c r="T126" i="39"/>
  <c r="U126" i="39" s="1"/>
  <c r="T25" i="39"/>
  <c r="U25" i="39" s="1"/>
  <c r="T76" i="39"/>
  <c r="U76" i="39" s="1"/>
  <c r="T40" i="39"/>
  <c r="U40" i="39" s="1"/>
  <c r="T94" i="39"/>
  <c r="U94" i="39" s="1"/>
  <c r="T70" i="39"/>
  <c r="U70" i="39" s="1"/>
  <c r="T90" i="39"/>
  <c r="U90" i="39" s="1"/>
  <c r="T21" i="39"/>
  <c r="U21" i="39" s="1"/>
  <c r="T34" i="39"/>
  <c r="U34"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2" i="9"/>
  <c r="L13" i="9"/>
  <c r="L8" i="9"/>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2" i="9"/>
  <c r="N13" i="9"/>
  <c r="N14" i="9"/>
  <c r="N15" i="9"/>
  <c r="N16" i="9"/>
  <c r="N17" i="9"/>
  <c r="N18" i="9"/>
  <c r="N19" i="9"/>
  <c r="N20" i="9"/>
  <c r="N21" i="9"/>
  <c r="N22" i="9"/>
  <c r="N23" i="9"/>
  <c r="N24"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2" i="9"/>
  <c r="K13" i="9"/>
  <c r="K16" i="9"/>
  <c r="K17" i="9"/>
  <c r="K18" i="9"/>
  <c r="K19" i="9"/>
  <c r="K20" i="9"/>
  <c r="K21" i="9"/>
  <c r="K22" i="9"/>
  <c r="K23" i="9"/>
  <c r="K24" i="9"/>
  <c r="K25" i="9"/>
  <c r="K26" i="9"/>
  <c r="K27" i="9"/>
  <c r="S27" i="9" s="1"/>
  <c r="T27" i="9" s="1"/>
  <c r="U27" i="9" s="1"/>
  <c r="K28" i="9"/>
  <c r="S28" i="9" s="1"/>
  <c r="K29" i="9"/>
  <c r="K30" i="9"/>
  <c r="K31" i="9"/>
  <c r="K32" i="9"/>
  <c r="K33" i="9"/>
  <c r="K34" i="9"/>
  <c r="K35" i="9"/>
  <c r="K36" i="9"/>
  <c r="K37" i="9"/>
  <c r="K38" i="9"/>
  <c r="K39" i="9"/>
  <c r="K40" i="9"/>
  <c r="K41" i="9"/>
  <c r="K42" i="9"/>
  <c r="K43" i="9"/>
  <c r="K44" i="9"/>
  <c r="K45" i="9"/>
  <c r="S45" i="9" s="1"/>
  <c r="T45" i="9" s="1"/>
  <c r="U45" i="9" s="1"/>
  <c r="K46" i="9"/>
  <c r="S46" i="9" s="1"/>
  <c r="K47" i="9"/>
  <c r="K48" i="9"/>
  <c r="K49" i="9"/>
  <c r="K50" i="9"/>
  <c r="S50" i="9" s="1"/>
  <c r="K51" i="9"/>
  <c r="K52" i="9"/>
  <c r="K53" i="9"/>
  <c r="K54" i="9"/>
  <c r="K55" i="9"/>
  <c r="K56" i="9"/>
  <c r="K57" i="9"/>
  <c r="K58" i="9"/>
  <c r="K59" i="9"/>
  <c r="K60" i="9"/>
  <c r="K61" i="9"/>
  <c r="K62" i="9"/>
  <c r="K63" i="9"/>
  <c r="K64" i="9"/>
  <c r="K65" i="9"/>
  <c r="K66" i="9"/>
  <c r="K67" i="9"/>
  <c r="K68" i="9"/>
  <c r="S68" i="9" s="1"/>
  <c r="K69" i="9"/>
  <c r="K70" i="9"/>
  <c r="K71" i="9"/>
  <c r="K72" i="9"/>
  <c r="K73" i="9"/>
  <c r="K74" i="9"/>
  <c r="K75" i="9"/>
  <c r="K76" i="9"/>
  <c r="K77" i="9"/>
  <c r="K78" i="9"/>
  <c r="K79" i="9"/>
  <c r="K80" i="9"/>
  <c r="K81" i="9"/>
  <c r="K82" i="9"/>
  <c r="K83" i="9"/>
  <c r="K84" i="9"/>
  <c r="K85" i="9"/>
  <c r="K86" i="9"/>
  <c r="S86" i="9" s="1"/>
  <c r="K87" i="9"/>
  <c r="K88" i="9"/>
  <c r="K89" i="9"/>
  <c r="K90" i="9"/>
  <c r="K91" i="9"/>
  <c r="K92" i="9"/>
  <c r="K93" i="9"/>
  <c r="K94" i="9"/>
  <c r="K95" i="9"/>
  <c r="K96" i="9"/>
  <c r="K97" i="9"/>
  <c r="K98" i="9"/>
  <c r="S98" i="9" s="1"/>
  <c r="K99" i="9"/>
  <c r="S99" i="9" s="1"/>
  <c r="K100" i="9"/>
  <c r="K101" i="9"/>
  <c r="K102" i="9"/>
  <c r="K103" i="9"/>
  <c r="K104" i="9"/>
  <c r="S104" i="9" s="1"/>
  <c r="K105" i="9"/>
  <c r="K106" i="9"/>
  <c r="K107" i="9"/>
  <c r="K108" i="9"/>
  <c r="K109" i="9"/>
  <c r="K110" i="9"/>
  <c r="K111" i="9"/>
  <c r="K112" i="9"/>
  <c r="K113" i="9"/>
  <c r="K114" i="9"/>
  <c r="K115" i="9"/>
  <c r="K116" i="9"/>
  <c r="K117" i="9"/>
  <c r="K118" i="9"/>
  <c r="K119" i="9"/>
  <c r="K120" i="9"/>
  <c r="K121" i="9"/>
  <c r="K122" i="9"/>
  <c r="K123" i="9"/>
  <c r="K124" i="9"/>
  <c r="K125" i="9"/>
  <c r="K126" i="9"/>
  <c r="K127" i="9"/>
  <c r="I9"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118" i="9" l="1"/>
  <c r="T118" i="9" s="1"/>
  <c r="U118" i="9" s="1"/>
  <c r="S100" i="9"/>
  <c r="S64" i="9"/>
  <c r="T64" i="9" s="1"/>
  <c r="U64" i="9" s="1"/>
  <c r="S117" i="9"/>
  <c r="T117" i="9" s="1"/>
  <c r="U117" i="9" s="1"/>
  <c r="S81" i="9"/>
  <c r="S63" i="9"/>
  <c r="T63" i="9" s="1"/>
  <c r="U63" i="9" s="1"/>
  <c r="S116" i="9"/>
  <c r="S80" i="9"/>
  <c r="S62" i="9"/>
  <c r="S44" i="9"/>
  <c r="S115" i="9"/>
  <c r="T115" i="9" s="1"/>
  <c r="U115" i="9" s="1"/>
  <c r="S79" i="9"/>
  <c r="T79" i="9" s="1"/>
  <c r="S43" i="9"/>
  <c r="S114" i="9"/>
  <c r="T114" i="9" s="1"/>
  <c r="U114" i="9" s="1"/>
  <c r="S78" i="9"/>
  <c r="T78" i="9" s="1"/>
  <c r="U78" i="9" s="1"/>
  <c r="S42" i="9"/>
  <c r="T42" i="9" s="1"/>
  <c r="U42" i="9" s="1"/>
  <c r="S113" i="9"/>
  <c r="T113" i="9" s="1"/>
  <c r="U113" i="9" s="1"/>
  <c r="S59" i="9"/>
  <c r="T59" i="9" s="1"/>
  <c r="U59" i="9" s="1"/>
  <c r="S75" i="9"/>
  <c r="T75" i="9" s="1"/>
  <c r="U75" i="9" s="1"/>
  <c r="S97" i="9"/>
  <c r="T97" i="9" s="1"/>
  <c r="U97" i="9" s="1"/>
  <c r="S61" i="9"/>
  <c r="T61" i="9" s="1"/>
  <c r="U61" i="9" s="1"/>
  <c r="S96" i="9"/>
  <c r="T96" i="9" s="1"/>
  <c r="U96" i="9" s="1"/>
  <c r="S60" i="9"/>
  <c r="T60" i="9" s="1"/>
  <c r="U60" i="9" s="1"/>
  <c r="S77" i="9"/>
  <c r="T77" i="9" s="1"/>
  <c r="U77" i="9" s="1"/>
  <c r="S41" i="9"/>
  <c r="S112" i="9"/>
  <c r="T112" i="9" s="1"/>
  <c r="U112" i="9" s="1"/>
  <c r="S94" i="9"/>
  <c r="T94" i="9" s="1"/>
  <c r="U94" i="9" s="1"/>
  <c r="S76" i="9"/>
  <c r="T76" i="9" s="1"/>
  <c r="U76" i="9" s="1"/>
  <c r="S58" i="9"/>
  <c r="T58" i="9" s="1"/>
  <c r="U58" i="9" s="1"/>
  <c r="S40" i="9"/>
  <c r="T40" i="9" s="1"/>
  <c r="U40" i="9" s="1"/>
  <c r="S111" i="9"/>
  <c r="T111" i="9" s="1"/>
  <c r="U111" i="9" s="1"/>
  <c r="S93" i="9"/>
  <c r="T93" i="9" s="1"/>
  <c r="U93" i="9" s="1"/>
  <c r="S57" i="9"/>
  <c r="T57" i="9" s="1"/>
  <c r="S39" i="9"/>
  <c r="T39" i="9" s="1"/>
  <c r="U39" i="9" s="1"/>
  <c r="S110" i="9"/>
  <c r="S92" i="9"/>
  <c r="S74" i="9"/>
  <c r="S56" i="9"/>
  <c r="S38" i="9"/>
  <c r="S32" i="9"/>
  <c r="S26" i="9"/>
  <c r="S25" i="9"/>
  <c r="T25" i="9" s="1"/>
  <c r="U25" i="9" s="1"/>
  <c r="S24" i="9"/>
  <c r="S23" i="9"/>
  <c r="S21" i="9"/>
  <c r="S22" i="9"/>
  <c r="S20" i="9"/>
  <c r="S127" i="9"/>
  <c r="T127" i="9" s="1"/>
  <c r="U127" i="9" s="1"/>
  <c r="S109" i="9"/>
  <c r="T109" i="9" s="1"/>
  <c r="U109" i="9" s="1"/>
  <c r="S91" i="9"/>
  <c r="T91" i="9" s="1"/>
  <c r="U91" i="9" s="1"/>
  <c r="S73" i="9"/>
  <c r="T73" i="9" s="1"/>
  <c r="U73" i="9" s="1"/>
  <c r="S55" i="9"/>
  <c r="T55" i="9" s="1"/>
  <c r="U55" i="9" s="1"/>
  <c r="S37" i="9"/>
  <c r="T37" i="9" s="1"/>
  <c r="U37" i="9" s="1"/>
  <c r="S108" i="9"/>
  <c r="T108" i="9" s="1"/>
  <c r="U108" i="9" s="1"/>
  <c r="S90" i="9"/>
  <c r="T90" i="9" s="1"/>
  <c r="U90" i="9" s="1"/>
  <c r="S72" i="9"/>
  <c r="T72" i="9" s="1"/>
  <c r="U72" i="9" s="1"/>
  <c r="S54" i="9"/>
  <c r="T54" i="9" s="1"/>
  <c r="U54" i="9" s="1"/>
  <c r="S36" i="9"/>
  <c r="T36" i="9" s="1"/>
  <c r="U36" i="9" s="1"/>
  <c r="S18" i="9"/>
  <c r="S125" i="9"/>
  <c r="T125" i="9" s="1"/>
  <c r="U125" i="9" s="1"/>
  <c r="S107" i="9"/>
  <c r="T107" i="9" s="1"/>
  <c r="U107" i="9" s="1"/>
  <c r="S89" i="9"/>
  <c r="T89" i="9" s="1"/>
  <c r="U89" i="9" s="1"/>
  <c r="S71" i="9"/>
  <c r="T71" i="9" s="1"/>
  <c r="U71" i="9" s="1"/>
  <c r="S53" i="9"/>
  <c r="T53" i="9" s="1"/>
  <c r="U53" i="9" s="1"/>
  <c r="S35" i="9"/>
  <c r="T35" i="9" s="1"/>
  <c r="U35" i="9" s="1"/>
  <c r="S17" i="9"/>
  <c r="S124" i="9"/>
  <c r="T124" i="9" s="1"/>
  <c r="U124" i="9" s="1"/>
  <c r="S106" i="9"/>
  <c r="T106" i="9" s="1"/>
  <c r="U106" i="9" s="1"/>
  <c r="S88" i="9"/>
  <c r="T88" i="9" s="1"/>
  <c r="U88" i="9" s="1"/>
  <c r="S70" i="9"/>
  <c r="T70" i="9" s="1"/>
  <c r="U70" i="9" s="1"/>
  <c r="S52" i="9"/>
  <c r="T52" i="9" s="1"/>
  <c r="U52" i="9" s="1"/>
  <c r="S34" i="9"/>
  <c r="T34" i="9" s="1"/>
  <c r="U34" i="9" s="1"/>
  <c r="S16" i="9"/>
  <c r="S105" i="9"/>
  <c r="T105" i="9" s="1"/>
  <c r="U105" i="9" s="1"/>
  <c r="S87" i="9"/>
  <c r="T87" i="9" s="1"/>
  <c r="U87" i="9" s="1"/>
  <c r="S69" i="9"/>
  <c r="T69" i="9" s="1"/>
  <c r="U69" i="9" s="1"/>
  <c r="S51" i="9"/>
  <c r="T51" i="9" s="1"/>
  <c r="U51" i="9" s="1"/>
  <c r="S33" i="9"/>
  <c r="T33" i="9" s="1"/>
  <c r="U33" i="9" s="1"/>
  <c r="S121" i="9"/>
  <c r="T121" i="9" s="1"/>
  <c r="U121" i="9" s="1"/>
  <c r="S103" i="9"/>
  <c r="T103" i="9" s="1"/>
  <c r="U103" i="9" s="1"/>
  <c r="S85" i="9"/>
  <c r="T85" i="9" s="1"/>
  <c r="U85" i="9" s="1"/>
  <c r="S67" i="9"/>
  <c r="T67" i="9" s="1"/>
  <c r="U67" i="9" s="1"/>
  <c r="S49" i="9"/>
  <c r="T49" i="9" s="1"/>
  <c r="U49" i="9" s="1"/>
  <c r="S31" i="9"/>
  <c r="S120" i="9"/>
  <c r="T120" i="9" s="1"/>
  <c r="U120" i="9" s="1"/>
  <c r="S102" i="9"/>
  <c r="T102" i="9" s="1"/>
  <c r="U102" i="9" s="1"/>
  <c r="S84" i="9"/>
  <c r="T84" i="9" s="1"/>
  <c r="U84" i="9" s="1"/>
  <c r="S48" i="9"/>
  <c r="T48" i="9" s="1"/>
  <c r="U48" i="9" s="1"/>
  <c r="S30" i="9"/>
  <c r="T30" i="9" s="1"/>
  <c r="U30" i="9" s="1"/>
  <c r="S119" i="9"/>
  <c r="T119" i="9" s="1"/>
  <c r="U119" i="9" s="1"/>
  <c r="S101" i="9"/>
  <c r="T101" i="9" s="1"/>
  <c r="U101" i="9" s="1"/>
  <c r="S83" i="9"/>
  <c r="T83" i="9" s="1"/>
  <c r="U83" i="9" s="1"/>
  <c r="S65" i="9"/>
  <c r="T65" i="9" s="1"/>
  <c r="S47" i="9"/>
  <c r="S29" i="9"/>
  <c r="T29" i="9" s="1"/>
  <c r="U29" i="9" s="1"/>
  <c r="S82" i="9"/>
  <c r="T82" i="9" s="1"/>
  <c r="U82" i="9" s="1"/>
  <c r="S66" i="9"/>
  <c r="T66" i="9" s="1"/>
  <c r="U66" i="9" s="1"/>
  <c r="S126" i="9"/>
  <c r="T126" i="9" s="1"/>
  <c r="U126" i="9" s="1"/>
  <c r="S9" i="9"/>
  <c r="S95" i="9"/>
  <c r="T95" i="9" s="1"/>
  <c r="T46" i="9"/>
  <c r="U46" i="9" s="1"/>
  <c r="T47" i="9"/>
  <c r="U47" i="9" s="1"/>
  <c r="T81" i="9"/>
  <c r="U81" i="9" s="1"/>
  <c r="T43" i="9"/>
  <c r="U43" i="9" s="1"/>
  <c r="T31" i="9"/>
  <c r="U31" i="9" s="1"/>
  <c r="T41" i="9"/>
  <c r="U41" i="9" s="1"/>
  <c r="T100" i="9"/>
  <c r="U100" i="9" s="1"/>
  <c r="T28" i="9"/>
  <c r="U28" i="9" s="1"/>
  <c r="S8" i="9"/>
  <c r="S19" i="9"/>
  <c r="S15" i="9"/>
  <c r="S14" i="9"/>
  <c r="S13" i="9"/>
  <c r="S12"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D14" i="15"/>
  <c r="F14" i="15" s="1"/>
  <c r="D15" i="15"/>
  <c r="F15" i="15" s="1"/>
  <c r="D16" i="15"/>
  <c r="F16" i="15" s="1"/>
  <c r="D17" i="15"/>
  <c r="F17" i="15" s="1"/>
  <c r="D18" i="15"/>
  <c r="F18" i="15" s="1"/>
  <c r="D19" i="15"/>
  <c r="E19" i="15" s="1"/>
  <c r="D20" i="15"/>
  <c r="E20" i="15" s="1"/>
  <c r="C74" i="39" s="1"/>
  <c r="D21" i="15"/>
  <c r="E21" i="15" s="1"/>
  <c r="D22" i="15"/>
  <c r="F22" i="15" s="1"/>
  <c r="D23" i="15"/>
  <c r="E23" i="15" s="1"/>
  <c r="C92" i="39" s="1"/>
  <c r="D24" i="15"/>
  <c r="E24" i="15" s="1"/>
  <c r="C98" i="39" s="1"/>
  <c r="D25" i="15"/>
  <c r="F25" i="15" s="1"/>
  <c r="D26" i="15"/>
  <c r="E26" i="15" s="1"/>
  <c r="D27" i="15"/>
  <c r="F27" i="15" s="1"/>
  <c r="D28" i="15"/>
  <c r="F28" i="15" s="1"/>
  <c r="E28" i="15"/>
  <c r="E27" i="15"/>
  <c r="B10" i="15"/>
  <c r="B20" i="9"/>
  <c r="B26" i="9"/>
  <c r="B32" i="9"/>
  <c r="B15" i="31"/>
  <c r="B15" i="35"/>
  <c r="B50" i="9"/>
  <c r="B56" i="9"/>
  <c r="B62" i="9"/>
  <c r="B19" i="35"/>
  <c r="B74" i="9"/>
  <c r="B80" i="9"/>
  <c r="B86" i="9"/>
  <c r="B92" i="9"/>
  <c r="B98" i="9"/>
  <c r="B26" i="35"/>
  <c r="B116" i="9"/>
  <c r="B28" i="15"/>
  <c r="B9" i="15"/>
  <c r="A28" i="35"/>
  <c r="A27" i="35"/>
  <c r="A26" i="35"/>
  <c r="A25" i="35"/>
  <c r="A24" i="35"/>
  <c r="A23" i="35"/>
  <c r="A22" i="35"/>
  <c r="A21" i="35"/>
  <c r="A20" i="35"/>
  <c r="A19" i="35"/>
  <c r="A18" i="35"/>
  <c r="A17" i="35"/>
  <c r="A16" i="35"/>
  <c r="A15" i="35"/>
  <c r="A14" i="35"/>
  <c r="A13" i="35"/>
  <c r="A12" i="35"/>
  <c r="A11" i="35"/>
  <c r="A10" i="35"/>
  <c r="A9" i="35"/>
  <c r="A8" i="9"/>
  <c r="A11" i="31"/>
  <c r="A12" i="31"/>
  <c r="A10" i="31"/>
  <c r="A13" i="31"/>
  <c r="A14" i="31"/>
  <c r="A15" i="31"/>
  <c r="A16" i="31"/>
  <c r="A17" i="31"/>
  <c r="A18" i="31"/>
  <c r="A19" i="31"/>
  <c r="A20" i="31"/>
  <c r="A21" i="31"/>
  <c r="B23" i="15"/>
  <c r="A9" i="15"/>
  <c r="M14" i="15" l="1"/>
  <c r="M17" i="15"/>
  <c r="M15" i="15"/>
  <c r="V44" i="39" s="1"/>
  <c r="U79" i="9"/>
  <c r="U65" i="9"/>
  <c r="U57" i="9"/>
  <c r="M28" i="15"/>
  <c r="M20" i="15"/>
  <c r="M19" i="15"/>
  <c r="N28" i="15"/>
  <c r="E30" i="31" s="1"/>
  <c r="C68" i="9"/>
  <c r="C68" i="39"/>
  <c r="C80" i="9"/>
  <c r="T80" i="9" s="1"/>
  <c r="U80" i="9" s="1"/>
  <c r="V80" i="9" s="1" a="1"/>
  <c r="V80" i="9" s="1"/>
  <c r="D21" i="35" s="1"/>
  <c r="F21" i="35" s="1"/>
  <c r="C80" i="39"/>
  <c r="C116" i="9"/>
  <c r="T116" i="9" s="1"/>
  <c r="U116" i="9" s="1"/>
  <c r="V116" i="9" s="1" a="1"/>
  <c r="V116" i="9" s="1"/>
  <c r="D27" i="35" s="1"/>
  <c r="F27" i="35" s="1"/>
  <c r="C116" i="39"/>
  <c r="E22" i="15"/>
  <c r="E16" i="15"/>
  <c r="C50" i="39" s="1"/>
  <c r="E17" i="15"/>
  <c r="C14" i="9"/>
  <c r="C14" i="39"/>
  <c r="F19" i="15"/>
  <c r="M12" i="15"/>
  <c r="D44" i="9"/>
  <c r="C122" i="9"/>
  <c r="C122" i="39"/>
  <c r="C110" i="9"/>
  <c r="C26" i="35" s="1"/>
  <c r="E26" i="35" s="1"/>
  <c r="C110" i="39"/>
  <c r="U95" i="9"/>
  <c r="N17" i="15"/>
  <c r="E18" i="31" s="1"/>
  <c r="D56" i="9"/>
  <c r="C21" i="35"/>
  <c r="E21" i="35" s="1"/>
  <c r="D38" i="9"/>
  <c r="N14" i="15"/>
  <c r="E15" i="31" s="1"/>
  <c r="C27" i="35"/>
  <c r="E27" i="35" s="1"/>
  <c r="M22" i="15"/>
  <c r="V86" i="39" s="1"/>
  <c r="F11" i="15"/>
  <c r="F21" i="15"/>
  <c r="E25" i="15"/>
  <c r="F20" i="15"/>
  <c r="E13" i="15"/>
  <c r="C32" i="39" s="1"/>
  <c r="M26" i="15"/>
  <c r="E14" i="15"/>
  <c r="M23" i="15"/>
  <c r="V92" i="39" s="1"/>
  <c r="F24" i="15"/>
  <c r="F26" i="15"/>
  <c r="F12" i="15"/>
  <c r="M18" i="15"/>
  <c r="V62" i="39" s="1"/>
  <c r="M10" i="15"/>
  <c r="V14" i="39" s="1"/>
  <c r="F10" i="15"/>
  <c r="M27" i="15"/>
  <c r="V116" i="39" s="1"/>
  <c r="M25" i="15"/>
  <c r="M24" i="15"/>
  <c r="M21" i="15"/>
  <c r="M16" i="15"/>
  <c r="M13" i="15"/>
  <c r="M11" i="15"/>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0" i="35"/>
  <c r="B20" i="15"/>
  <c r="B19" i="31"/>
  <c r="B11" i="35"/>
  <c r="B16" i="35"/>
  <c r="B21" i="35"/>
  <c r="B17" i="15"/>
  <c r="B11" i="15"/>
  <c r="B16" i="15"/>
  <c r="B18" i="31"/>
  <c r="B12" i="35"/>
  <c r="B27" i="35"/>
  <c r="B44" i="9"/>
  <c r="B22" i="15"/>
  <c r="B10" i="35"/>
  <c r="B18" i="35"/>
  <c r="B22" i="35"/>
  <c r="B11" i="31"/>
  <c r="B15" i="15"/>
  <c r="B24" i="15"/>
  <c r="B24" i="35"/>
  <c r="B28" i="35"/>
  <c r="C92" i="9"/>
  <c r="T92" i="9" s="1"/>
  <c r="U92" i="9" s="1"/>
  <c r="C74" i="9"/>
  <c r="T74" i="9" s="1"/>
  <c r="U74" i="9" s="1"/>
  <c r="V74" i="9" s="1" a="1"/>
  <c r="V74" i="9" s="1"/>
  <c r="D20" i="35" s="1"/>
  <c r="F20" i="35" s="1"/>
  <c r="C26" i="9"/>
  <c r="T26" i="9" s="1"/>
  <c r="U26" i="9" s="1"/>
  <c r="V26" i="9" s="1" a="1"/>
  <c r="V26" i="9" s="1"/>
  <c r="D12" i="35" s="1"/>
  <c r="F12" i="35" s="1"/>
  <c r="C98" i="9"/>
  <c r="T98" i="9" s="1"/>
  <c r="U98" i="9" s="1"/>
  <c r="C20" i="9"/>
  <c r="C32" i="9"/>
  <c r="T32" i="9" s="1"/>
  <c r="U32" i="9" s="1"/>
  <c r="V32" i="9" s="1" a="1"/>
  <c r="V32" i="9" s="1"/>
  <c r="D13" i="35" s="1"/>
  <c r="F13" i="35" s="1"/>
  <c r="B122" i="9"/>
  <c r="E15" i="15"/>
  <c r="C44" i="39" s="1"/>
  <c r="E18" i="15"/>
  <c r="C62" i="39" s="1"/>
  <c r="F23" i="15"/>
  <c r="D68" i="9"/>
  <c r="E9" i="15"/>
  <c r="M9" i="15"/>
  <c r="V8" i="39" s="1"/>
  <c r="B9" i="35"/>
  <c r="B8" i="9"/>
  <c r="B10" i="31"/>
  <c r="D44" i="39" l="1"/>
  <c r="T44" i="39" s="1"/>
  <c r="U44" i="39" s="1"/>
  <c r="D104" i="39"/>
  <c r="T104" i="39" s="1"/>
  <c r="U104" i="39" s="1"/>
  <c r="V104" i="39"/>
  <c r="G27" i="35"/>
  <c r="G21" i="35"/>
  <c r="V92" i="9" a="1"/>
  <c r="V92" i="9" s="1"/>
  <c r="D23" i="35" s="1"/>
  <c r="F23" i="35" s="1"/>
  <c r="D122" i="39"/>
  <c r="T122" i="39" s="1"/>
  <c r="U122" i="39" s="1"/>
  <c r="V122" i="39"/>
  <c r="D20" i="39"/>
  <c r="T20" i="39" s="1"/>
  <c r="U20" i="39" s="1"/>
  <c r="V20" i="39"/>
  <c r="D26" i="39"/>
  <c r="T26" i="39" s="1"/>
  <c r="U26" i="39" s="1"/>
  <c r="V26" i="39"/>
  <c r="T99" i="9"/>
  <c r="U99" i="9" s="1"/>
  <c r="V98" i="9" a="1"/>
  <c r="V98" i="9" s="1"/>
  <c r="D24" i="35" s="1"/>
  <c r="F24" i="35" s="1"/>
  <c r="D68" i="39"/>
  <c r="T68" i="39" s="1"/>
  <c r="U68" i="39" s="1"/>
  <c r="V68" i="39"/>
  <c r="N20" i="15"/>
  <c r="E21" i="31" s="1"/>
  <c r="V74" i="39"/>
  <c r="D80" i="39"/>
  <c r="T80" i="39" s="1"/>
  <c r="U80" i="39" s="1"/>
  <c r="V80" i="39"/>
  <c r="N15" i="15"/>
  <c r="E16" i="31" s="1"/>
  <c r="D56" i="39"/>
  <c r="T56" i="39" s="1"/>
  <c r="U56" i="39" s="1"/>
  <c r="V56" i="39"/>
  <c r="D110" i="39"/>
  <c r="T110" i="39" s="1"/>
  <c r="U110" i="39" s="1"/>
  <c r="V110" i="39"/>
  <c r="D50" i="39"/>
  <c r="T50" i="39" s="1"/>
  <c r="U50" i="39" s="1"/>
  <c r="V50" i="39"/>
  <c r="D98" i="39"/>
  <c r="T98" i="39" s="1"/>
  <c r="U98" i="39" s="1"/>
  <c r="V98" i="39"/>
  <c r="D38" i="39"/>
  <c r="T38" i="39" s="1"/>
  <c r="U38" i="39" s="1"/>
  <c r="V38" i="39"/>
  <c r="D32" i="39"/>
  <c r="T32" i="39" s="1"/>
  <c r="U32" i="39" s="1"/>
  <c r="V32" i="39"/>
  <c r="T20" i="9"/>
  <c r="U20" i="9" s="1"/>
  <c r="C19" i="35"/>
  <c r="E19" i="35" s="1"/>
  <c r="T68" i="9"/>
  <c r="U68" i="9" s="1"/>
  <c r="V68" i="9" s="1" a="1"/>
  <c r="V68" i="9" s="1"/>
  <c r="D19" i="35" s="1"/>
  <c r="F19" i="35" s="1"/>
  <c r="C28" i="35"/>
  <c r="E28" i="35" s="1"/>
  <c r="V122" i="9" a="1"/>
  <c r="V122" i="9" s="1"/>
  <c r="D28" i="35" s="1"/>
  <c r="F28" i="35" s="1"/>
  <c r="C10" i="35"/>
  <c r="E10" i="35" s="1"/>
  <c r="T110" i="9"/>
  <c r="U110" i="9" s="1"/>
  <c r="N19" i="15"/>
  <c r="E20" i="31" s="1"/>
  <c r="D122" i="9"/>
  <c r="D50" i="9"/>
  <c r="D74" i="39"/>
  <c r="T74" i="39" s="1"/>
  <c r="U74" i="39" s="1"/>
  <c r="D74" i="9"/>
  <c r="C50" i="9"/>
  <c r="T50" i="9" s="1"/>
  <c r="U50" i="9" s="1"/>
  <c r="V50" i="9" s="1" a="1"/>
  <c r="V50" i="9" s="1"/>
  <c r="D16" i="35" s="1"/>
  <c r="F16" i="35" s="1"/>
  <c r="C38" i="9"/>
  <c r="T38" i="9" s="1"/>
  <c r="U38" i="9" s="1"/>
  <c r="V38" i="9" s="1" a="1"/>
  <c r="V38" i="9" s="1"/>
  <c r="D14" i="35" s="1"/>
  <c r="F14" i="35" s="1"/>
  <c r="C38" i="39"/>
  <c r="D110" i="9"/>
  <c r="C56" i="9"/>
  <c r="T56" i="9" s="1"/>
  <c r="U56" i="9" s="1"/>
  <c r="V56" i="9" s="1" a="1"/>
  <c r="V56" i="9" s="1"/>
  <c r="D17" i="35" s="1"/>
  <c r="F17" i="35" s="1"/>
  <c r="C56" i="39"/>
  <c r="N26" i="15"/>
  <c r="E28" i="31" s="1"/>
  <c r="C104" i="9"/>
  <c r="T104" i="9" s="1"/>
  <c r="U104" i="9" s="1"/>
  <c r="V104" i="9" s="1" a="1"/>
  <c r="V104" i="9" s="1"/>
  <c r="D25" i="35" s="1"/>
  <c r="F25" i="35" s="1"/>
  <c r="C104" i="39"/>
  <c r="N10" i="15"/>
  <c r="E11" i="31" s="1"/>
  <c r="D14" i="39"/>
  <c r="T14" i="39" s="1"/>
  <c r="U14" i="39" s="1"/>
  <c r="T15" i="39" s="1"/>
  <c r="U15" i="39" s="1"/>
  <c r="T16" i="39" s="1"/>
  <c r="U16" i="39" s="1"/>
  <c r="T17" i="39" s="1"/>
  <c r="U17" i="39" s="1"/>
  <c r="T18" i="39" s="1"/>
  <c r="U18" i="39" s="1"/>
  <c r="T19" i="39" s="1"/>
  <c r="U19" i="39" s="1"/>
  <c r="T14" i="9"/>
  <c r="D20" i="9"/>
  <c r="N16" i="15"/>
  <c r="E17" i="31" s="1"/>
  <c r="D116" i="9"/>
  <c r="D116" i="39"/>
  <c r="T116" i="39" s="1"/>
  <c r="U116" i="39" s="1"/>
  <c r="C86" i="9"/>
  <c r="C86" i="39"/>
  <c r="N13" i="15"/>
  <c r="E14" i="31" s="1"/>
  <c r="N11" i="15"/>
  <c r="E12" i="31" s="1"/>
  <c r="D32" i="9"/>
  <c r="D62" i="9"/>
  <c r="D62" i="39"/>
  <c r="T62" i="39" s="1"/>
  <c r="U62" i="39" s="1"/>
  <c r="D86" i="9"/>
  <c r="D86" i="39"/>
  <c r="T86" i="39" s="1"/>
  <c r="U86" i="39" s="1"/>
  <c r="D80" i="9"/>
  <c r="N21" i="15"/>
  <c r="E23" i="31" s="1"/>
  <c r="N24" i="15"/>
  <c r="E26" i="31" s="1"/>
  <c r="D98" i="9"/>
  <c r="N12" i="15"/>
  <c r="E13" i="31" s="1"/>
  <c r="N25" i="15"/>
  <c r="E27" i="31" s="1"/>
  <c r="D92" i="9"/>
  <c r="D92" i="39"/>
  <c r="T92" i="39" s="1"/>
  <c r="U92" i="39" s="1"/>
  <c r="D26" i="9"/>
  <c r="D104" i="9"/>
  <c r="D8" i="9"/>
  <c r="D8" i="39"/>
  <c r="C8" i="9"/>
  <c r="T8" i="9" s="1"/>
  <c r="U8" i="9" s="1"/>
  <c r="C8" i="39"/>
  <c r="C24" i="35"/>
  <c r="E24" i="35" s="1"/>
  <c r="C13" i="35"/>
  <c r="E13" i="35" s="1"/>
  <c r="G13" i="35" s="1"/>
  <c r="N27" i="15"/>
  <c r="E29" i="31" s="1"/>
  <c r="C12" i="35"/>
  <c r="E12" i="35" s="1"/>
  <c r="G12" i="35" s="1"/>
  <c r="C20" i="35"/>
  <c r="E20" i="35" s="1"/>
  <c r="G20" i="35" s="1"/>
  <c r="N23" i="15"/>
  <c r="E25" i="31" s="1"/>
  <c r="C23" i="35"/>
  <c r="E23" i="35" s="1"/>
  <c r="C11" i="35"/>
  <c r="E11" i="35" s="1"/>
  <c r="N18" i="15"/>
  <c r="E19" i="31" s="1"/>
  <c r="N22" i="15"/>
  <c r="E24" i="31" s="1"/>
  <c r="D14" i="9"/>
  <c r="N9" i="15"/>
  <c r="D10" i="31" s="1"/>
  <c r="C44" i="9"/>
  <c r="T44" i="9" s="1"/>
  <c r="U44" i="9" s="1"/>
  <c r="V44" i="9" s="1" a="1"/>
  <c r="V44" i="9" s="1"/>
  <c r="D15" i="35" s="1"/>
  <c r="F15" i="35" s="1"/>
  <c r="C62" i="9"/>
  <c r="T62" i="9" s="1"/>
  <c r="U62" i="9" s="1"/>
  <c r="V62" i="9" s="1" a="1"/>
  <c r="V62" i="9" s="1"/>
  <c r="D18" i="35" s="1"/>
  <c r="F18" i="35" s="1"/>
  <c r="G14" i="37" l="1"/>
  <c r="F10" i="37"/>
  <c r="C13" i="37"/>
  <c r="E10" i="31"/>
  <c r="B16" i="33" s="1"/>
  <c r="E10" i="37"/>
  <c r="C12" i="37"/>
  <c r="D11" i="37"/>
  <c r="E11" i="37"/>
  <c r="E12" i="37"/>
  <c r="G13" i="37"/>
  <c r="D10" i="37"/>
  <c r="D13" i="37"/>
  <c r="D12" i="37"/>
  <c r="C14" i="37"/>
  <c r="D14" i="37"/>
  <c r="F14" i="37"/>
  <c r="F11" i="37"/>
  <c r="C11" i="37"/>
  <c r="G11" i="37"/>
  <c r="G12" i="37"/>
  <c r="E14" i="37"/>
  <c r="F12" i="37"/>
  <c r="G24" i="35"/>
  <c r="G23" i="35"/>
  <c r="G28" i="35"/>
  <c r="G19" i="35"/>
  <c r="V110" i="9" a="1"/>
  <c r="V110" i="9" s="1"/>
  <c r="D26" i="35" s="1"/>
  <c r="F26" i="35" s="1"/>
  <c r="G26" i="35" s="1"/>
  <c r="T21" i="9"/>
  <c r="U21" i="9" s="1"/>
  <c r="T22" i="9" s="1"/>
  <c r="U22" i="9" s="1"/>
  <c r="U14" i="9"/>
  <c r="T15" i="9" s="1"/>
  <c r="C16" i="35"/>
  <c r="E16" i="35" s="1"/>
  <c r="G16" i="35" s="1"/>
  <c r="T86" i="9"/>
  <c r="U86" i="9" s="1"/>
  <c r="V86" i="9" s="1" a="1"/>
  <c r="V86" i="9" s="1"/>
  <c r="D22" i="35" s="1"/>
  <c r="F22" i="35" s="1"/>
  <c r="C25" i="35"/>
  <c r="E25" i="35" s="1"/>
  <c r="G25" i="35" s="1"/>
  <c r="C14" i="35"/>
  <c r="E14" i="35" s="1"/>
  <c r="G14" i="35" s="1"/>
  <c r="C22" i="35"/>
  <c r="E22" i="35" s="1"/>
  <c r="G22" i="35" s="1"/>
  <c r="C17" i="35"/>
  <c r="E17" i="35" s="1"/>
  <c r="G17" i="35" s="1"/>
  <c r="T9" i="9"/>
  <c r="U9" i="9" s="1"/>
  <c r="T10" i="9" s="1"/>
  <c r="U10" i="9" s="1"/>
  <c r="T11" i="9" s="1"/>
  <c r="U11" i="9" s="1"/>
  <c r="B15" i="33"/>
  <c r="B17" i="33"/>
  <c r="B14" i="33"/>
  <c r="C18" i="35"/>
  <c r="E18" i="35" s="1"/>
  <c r="G18" i="35" s="1"/>
  <c r="C15" i="35"/>
  <c r="E15" i="35" s="1"/>
  <c r="G15" i="35" s="1"/>
  <c r="F13" i="37"/>
  <c r="G10" i="37"/>
  <c r="E13" i="37"/>
  <c r="C10" i="37"/>
  <c r="U15" i="9" l="1"/>
  <c r="T16" i="9" s="1"/>
  <c r="U16" i="9" s="1"/>
  <c r="T17" i="9" s="1"/>
  <c r="U17" i="9" s="1"/>
  <c r="T18" i="9" s="1"/>
  <c r="U18" i="9" s="1"/>
  <c r="T19" i="9" s="1"/>
  <c r="U19" i="9" s="1"/>
  <c r="T23" i="9"/>
  <c r="U23" i="9" s="1"/>
  <c r="T24" i="9" s="1"/>
  <c r="U24" i="9" s="1"/>
  <c r="V20" i="9" s="1" a="1"/>
  <c r="V20" i="9" s="1"/>
  <c r="D11" i="35" s="1"/>
  <c r="F11" i="35" s="1"/>
  <c r="G11" i="35" s="1"/>
  <c r="T10" i="39"/>
  <c r="U10" i="39" s="1"/>
  <c r="B18" i="33"/>
  <c r="C17" i="33" s="1"/>
  <c r="V14" i="9" l="1" a="1"/>
  <c r="V14" i="9" s="1"/>
  <c r="D10" i="35" s="1"/>
  <c r="F10" i="35" s="1"/>
  <c r="G10" i="35" s="1"/>
  <c r="T11" i="39"/>
  <c r="U11" i="39" s="1"/>
  <c r="T12" i="39" s="1"/>
  <c r="U12" i="39" s="1"/>
  <c r="T13" i="39" s="1"/>
  <c r="U13" i="39" s="1"/>
  <c r="D9" i="35"/>
  <c r="F9" i="35" s="1"/>
  <c r="T12" i="9"/>
  <c r="U12" i="9" s="1"/>
  <c r="T13" i="9" s="1"/>
  <c r="U13" i="9" s="1"/>
  <c r="B21" i="33"/>
  <c r="C15" i="33"/>
  <c r="C16" i="33"/>
  <c r="C14" i="33"/>
  <c r="C18" i="33"/>
  <c r="V8" i="9" l="1" a="1"/>
  <c r="V8" i="9" s="1"/>
  <c r="C9" i="35" s="1"/>
  <c r="E9" i="35" s="1"/>
  <c r="M11" i="35" l="1"/>
  <c r="M12" i="37" s="1"/>
  <c r="O11" i="35"/>
  <c r="O12" i="37" s="1"/>
  <c r="M12" i="35"/>
  <c r="M13" i="37" s="1"/>
  <c r="L9" i="35"/>
  <c r="L10" i="37" s="1"/>
  <c r="N13" i="35"/>
  <c r="N14" i="37" s="1"/>
  <c r="N9" i="35"/>
  <c r="N10" i="37" s="1"/>
  <c r="O13" i="35"/>
  <c r="K10" i="35"/>
  <c r="K11" i="37" s="1"/>
  <c r="O10" i="35"/>
  <c r="O11" i="37" s="1"/>
  <c r="N11" i="35"/>
  <c r="N12" i="37" s="1"/>
  <c r="K11" i="35"/>
  <c r="K12" i="37" s="1"/>
  <c r="M13" i="35"/>
  <c r="M14" i="37" s="1"/>
  <c r="K12" i="35"/>
  <c r="K13" i="37" s="1"/>
  <c r="N12" i="35"/>
  <c r="N13" i="37" s="1"/>
  <c r="L13" i="35"/>
  <c r="L14" i="37" s="1"/>
  <c r="K9" i="35"/>
  <c r="K10" i="37" s="1"/>
  <c r="M9" i="35"/>
  <c r="M10" i="37" s="1"/>
  <c r="L10" i="35"/>
  <c r="L11" i="37" s="1"/>
  <c r="K13" i="35"/>
  <c r="K14" i="37" s="1"/>
  <c r="M10" i="35"/>
  <c r="M11" i="37" s="1"/>
  <c r="L11" i="35"/>
  <c r="L12" i="37" s="1"/>
  <c r="N10" i="35"/>
  <c r="N11" i="37" s="1"/>
  <c r="L12" i="35"/>
  <c r="L13" i="37" s="1"/>
  <c r="O12" i="35"/>
  <c r="O13" i="37" s="1"/>
  <c r="O9" i="35"/>
  <c r="O10" i="37" s="1"/>
  <c r="O14" i="37"/>
  <c r="G9" i="35"/>
  <c r="D15" i="33" l="1"/>
  <c r="D16" i="33"/>
  <c r="D17" i="33"/>
  <c r="D14" i="33"/>
  <c r="D18" i="33" l="1"/>
  <c r="E15" i="33" s="1"/>
  <c r="E17" i="33" l="1"/>
  <c r="E16" i="33"/>
  <c r="E18" i="33"/>
  <c r="E14" i="33"/>
  <c r="D21" i="33"/>
</calcChain>
</file>

<file path=xl/comments1.xml><?xml version="1.0" encoding="utf-8"?>
<comments xmlns="http://schemas.openxmlformats.org/spreadsheetml/2006/main">
  <authors>
    <author>Myriam Cubillos Benavides</author>
    <author>Microsoft Office User</author>
  </authors>
  <commentList>
    <comment ref="B8" authorId="0" shapeId="0">
      <text>
        <r>
          <rPr>
            <b/>
            <sz val="9"/>
            <color indexed="81"/>
            <rFont val="Tahoma"/>
            <family val="2"/>
          </rPr>
          <t>Utilice lista de despliegue</t>
        </r>
        <r>
          <rPr>
            <sz val="9"/>
            <color indexed="81"/>
            <rFont val="Tahoma"/>
            <family val="2"/>
          </rPr>
          <t xml:space="preserve">
</t>
        </r>
      </text>
    </comment>
    <comment ref="C8" authorId="0" shapeId="0">
      <text>
        <r>
          <rPr>
            <b/>
            <sz val="9"/>
            <color indexed="81"/>
            <rFont val="Tahoma"/>
            <family val="2"/>
          </rPr>
          <t>Utilice lista de despliegue, depende de haber seleccionado lista en B8</t>
        </r>
        <r>
          <rPr>
            <sz val="9"/>
            <color indexed="81"/>
            <rFont val="Tahoma"/>
            <family val="2"/>
          </rPr>
          <t xml:space="preserve">
</t>
        </r>
      </text>
    </comment>
    <comment ref="E8" authorId="0" shapeId="0">
      <text>
        <r>
          <rPr>
            <b/>
            <sz val="9"/>
            <color indexed="81"/>
            <rFont val="Tahoma"/>
            <family val="2"/>
          </rPr>
          <t>Celda parametrizada no modifcar</t>
        </r>
        <r>
          <rPr>
            <sz val="9"/>
            <color indexed="81"/>
            <rFont val="Tahoma"/>
            <family val="2"/>
          </rPr>
          <t xml:space="preserve">
</t>
        </r>
      </text>
    </comment>
    <comment ref="F8" authorId="0" shapeId="0">
      <text>
        <r>
          <rPr>
            <b/>
            <sz val="9"/>
            <color indexed="81"/>
            <rFont val="Tahoma"/>
            <family val="2"/>
          </rPr>
          <t>Utilice lista de despliegue</t>
        </r>
      </text>
    </comment>
    <comment ref="G8" authorId="0" shapeId="0">
      <text>
        <r>
          <rPr>
            <b/>
            <sz val="9"/>
            <color indexed="81"/>
            <rFont val="Tahoma"/>
            <family val="2"/>
          </rPr>
          <t>Utilice lista de despliegue</t>
        </r>
        <r>
          <rPr>
            <sz val="9"/>
            <color indexed="81"/>
            <rFont val="Tahoma"/>
            <family val="2"/>
          </rPr>
          <t xml:space="preserve">
</t>
        </r>
      </text>
    </comment>
    <comment ref="H8" authorId="0" shapeId="0">
      <text>
        <r>
          <rPr>
            <b/>
            <sz val="9"/>
            <color indexed="81"/>
            <rFont val="Tahoma"/>
            <family val="2"/>
          </rPr>
          <t>inicie redacción del riesgo utilizando estructura definida</t>
        </r>
        <r>
          <rPr>
            <sz val="9"/>
            <color indexed="81"/>
            <rFont val="Tahoma"/>
            <family val="2"/>
          </rPr>
          <t xml:space="preserve">
</t>
        </r>
      </text>
    </comment>
    <comment ref="I8" authorId="0" shapeId="0">
      <text>
        <r>
          <rPr>
            <b/>
            <sz val="9"/>
            <color indexed="81"/>
            <rFont val="Tahoma"/>
            <family val="2"/>
          </rPr>
          <t>Continue redacción del riesgo, defina causa raíz</t>
        </r>
        <r>
          <rPr>
            <sz val="9"/>
            <color indexed="81"/>
            <rFont val="Tahoma"/>
            <family val="2"/>
          </rPr>
          <t xml:space="preserve">
</t>
        </r>
      </text>
    </comment>
    <comment ref="J8" authorId="0" shapeId="0">
      <text>
        <r>
          <rPr>
            <b/>
            <sz val="9"/>
            <color indexed="81"/>
            <rFont val="Tahoma"/>
            <family val="2"/>
          </rPr>
          <t>Esta celda concatena redacción del riesgo, no modificar.</t>
        </r>
      </text>
    </comment>
    <comment ref="J9"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Direccionamiento Estratégico y Planeación</t>
        </r>
      </text>
    </comment>
    <comment ref="J10" authorId="1" shapeId="0">
      <text>
        <r>
          <rPr>
            <b/>
            <sz val="10"/>
            <color rgb="FF000000"/>
            <rFont val="Tahoma"/>
            <family val="2"/>
          </rPr>
          <t>Microsoft Office User:</t>
        </r>
        <r>
          <rPr>
            <sz val="10"/>
            <color rgb="FF000000"/>
            <rFont val="Tahoma"/>
            <family val="2"/>
          </rPr>
          <t xml:space="preserve">
</t>
        </r>
        <r>
          <rPr>
            <sz val="10"/>
            <color rgb="FF000000"/>
            <rFont val="Tahoma"/>
            <family val="2"/>
          </rPr>
          <t>Talento Humano</t>
        </r>
      </text>
    </comment>
    <comment ref="J11"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Contractual</t>
        </r>
      </text>
    </comment>
    <comment ref="J12" authorId="1" shapeId="0">
      <text>
        <r>
          <rPr>
            <b/>
            <sz val="10"/>
            <color rgb="FF000000"/>
            <rFont val="Tahoma"/>
            <family val="2"/>
          </rPr>
          <t>Microsoft Office User:</t>
        </r>
        <r>
          <rPr>
            <sz val="10"/>
            <color rgb="FF000000"/>
            <rFont val="Tahoma"/>
            <family val="2"/>
          </rPr>
          <t xml:space="preserve">
</t>
        </r>
        <r>
          <rPr>
            <sz val="10"/>
            <color rgb="FF000000"/>
            <rFont val="Tahoma"/>
            <family val="2"/>
          </rPr>
          <t xml:space="preserve">Gestión Contractual
</t>
        </r>
      </text>
    </comment>
    <comment ref="J13"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Evaluaciión Control y Mejora</t>
        </r>
      </text>
    </comment>
    <comment ref="J14"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de comunicaciones</t>
        </r>
      </text>
    </comment>
    <comment ref="J15"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Jurídica</t>
        </r>
      </text>
    </comment>
    <comment ref="J16"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Gestión Administrativa</t>
        </r>
      </text>
    </comment>
    <comment ref="J17"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IMplementación y SEguimiento</t>
        </r>
      </text>
    </comment>
    <comment ref="J18" authorId="1" shapeId="0">
      <text>
        <r>
          <rPr>
            <b/>
            <sz val="10"/>
            <color rgb="FF000000"/>
            <rFont val="Tahoma"/>
            <family val="2"/>
          </rPr>
          <t>Microsoft Office User:</t>
        </r>
        <r>
          <rPr>
            <sz val="10"/>
            <color rgb="FF000000"/>
            <rFont val="Tahoma"/>
            <family val="2"/>
          </rPr>
          <t xml:space="preserve">
</t>
        </r>
        <r>
          <rPr>
            <sz val="10"/>
            <color rgb="FF000000"/>
            <rFont val="Calibri"/>
            <family val="2"/>
            <scheme val="minor"/>
          </rPr>
          <t>Proceso de Implementación y Seguimiento</t>
        </r>
        <r>
          <rPr>
            <sz val="10"/>
            <color rgb="FF000000"/>
            <rFont val="Calibri"/>
            <family val="2"/>
            <scheme val="minor"/>
          </rPr>
          <t xml:space="preserve">
</t>
        </r>
      </text>
    </comment>
    <comment ref="J19"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Tecnologías de la Información</t>
        </r>
      </text>
    </comment>
    <comment ref="J20"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Administrativa</t>
        </r>
      </text>
    </comment>
    <comment ref="J21"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Administrativa</t>
        </r>
      </text>
    </comment>
    <comment ref="J22"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Administrativa.</t>
        </r>
      </text>
    </comment>
    <comment ref="J23"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Servicio al Ciudadano</t>
        </r>
      </text>
    </comment>
    <comment ref="J24"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Financiera</t>
        </r>
      </text>
    </comment>
    <comment ref="J25"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Financiera</t>
        </r>
      </text>
    </comment>
    <comment ref="J26"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de Talento Humano</t>
        </r>
      </text>
    </comment>
    <comment ref="J27" authorId="1" shapeId="0">
      <text>
        <r>
          <rPr>
            <b/>
            <sz val="10"/>
            <color rgb="FF000000"/>
            <rFont val="Tahoma"/>
            <family val="2"/>
          </rPr>
          <t>Microsoft Office User:</t>
        </r>
        <r>
          <rPr>
            <sz val="10"/>
            <color rgb="FF000000"/>
            <rFont val="Tahoma"/>
            <family val="2"/>
          </rPr>
          <t xml:space="preserve">
</t>
        </r>
        <r>
          <rPr>
            <sz val="10"/>
            <color rgb="FF000000"/>
            <rFont val="Calibri"/>
            <family val="2"/>
            <scheme val="minor"/>
          </rPr>
          <t>Proceso de Gestión de Talento Humano</t>
        </r>
        <r>
          <rPr>
            <sz val="10"/>
            <color rgb="FF000000"/>
            <rFont val="Calibri"/>
            <family val="2"/>
            <scheme val="minor"/>
          </rPr>
          <t xml:space="preserve">
</t>
        </r>
      </text>
    </comment>
    <comment ref="J28" authorId="1" shapeId="0">
      <text>
        <r>
          <rPr>
            <b/>
            <sz val="10"/>
            <color rgb="FF000000"/>
            <rFont val="Tahoma"/>
            <family val="2"/>
          </rPr>
          <t>Microsoft Office User:</t>
        </r>
        <r>
          <rPr>
            <sz val="10"/>
            <color rgb="FF000000"/>
            <rFont val="Tahoma"/>
            <family val="2"/>
          </rPr>
          <t xml:space="preserve">
</t>
        </r>
        <r>
          <rPr>
            <sz val="10"/>
            <color rgb="FF000000"/>
            <rFont val="Tahoma"/>
            <family val="2"/>
          </rPr>
          <t>Gestión de Administración de Recursos y Donaciones en Especia</t>
        </r>
      </text>
    </comment>
    <comment ref="J29"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Identofocación y Priorización</t>
        </r>
      </text>
    </comment>
    <comment ref="J30" authorId="1" shapeId="0">
      <text>
        <r>
          <rPr>
            <b/>
            <sz val="10"/>
            <color rgb="FF000000"/>
            <rFont val="Tahoma"/>
            <family val="2"/>
          </rPr>
          <t>Microsoft Office User:</t>
        </r>
        <r>
          <rPr>
            <sz val="10"/>
            <color rgb="FF000000"/>
            <rFont val="Tahoma"/>
            <family val="2"/>
          </rPr>
          <t xml:space="preserve">
</t>
        </r>
        <r>
          <rPr>
            <sz val="10"/>
            <color rgb="FF000000"/>
            <rFont val="Calibri"/>
            <family val="2"/>
            <scheme val="minor"/>
          </rPr>
          <t>Proceso de Identofocación y Priorización</t>
        </r>
        <r>
          <rPr>
            <sz val="10"/>
            <color rgb="FF000000"/>
            <rFont val="Calibri"/>
            <family val="2"/>
            <scheme val="minor"/>
          </rPr>
          <t xml:space="preserve">
</t>
        </r>
      </text>
    </comment>
    <comment ref="J31" authorId="1" shapeId="0">
      <text>
        <r>
          <rPr>
            <b/>
            <sz val="10"/>
            <color rgb="FF000000"/>
            <rFont val="Tahoma"/>
            <family val="2"/>
          </rPr>
          <t>Microsoft Office User:</t>
        </r>
        <r>
          <rPr>
            <sz val="10"/>
            <color rgb="FF000000"/>
            <rFont val="Tahoma"/>
            <family val="2"/>
          </rPr>
          <t xml:space="preserve">
</t>
        </r>
        <r>
          <rPr>
            <sz val="10"/>
            <color rgb="FF000000"/>
            <rFont val="Calibri"/>
            <family val="2"/>
            <scheme val="minor"/>
          </rPr>
          <t>Proceso de Identofocación y Priorización</t>
        </r>
        <r>
          <rPr>
            <sz val="10"/>
            <color rgb="FF000000"/>
            <rFont val="Calibri"/>
            <family val="2"/>
            <scheme val="minor"/>
          </rPr>
          <t xml:space="preserve">
</t>
        </r>
      </text>
    </comment>
    <comment ref="J32"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Contractual</t>
        </r>
      </text>
    </comment>
    <comment ref="J33"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Preparación y Formulación</t>
        </r>
      </text>
    </comment>
    <comment ref="J34" authorId="1" shapeId="0">
      <text>
        <r>
          <rPr>
            <b/>
            <sz val="10"/>
            <color rgb="FF000000"/>
            <rFont val="Tahoma"/>
            <family val="2"/>
          </rPr>
          <t>Microsoft Office User:</t>
        </r>
        <r>
          <rPr>
            <sz val="10"/>
            <color rgb="FF000000"/>
            <rFont val="Tahoma"/>
            <family val="2"/>
          </rPr>
          <t xml:space="preserve">
</t>
        </r>
        <r>
          <rPr>
            <sz val="10"/>
            <color rgb="FF000000"/>
            <rFont val="Calibri"/>
            <family val="2"/>
            <scheme val="minor"/>
          </rPr>
          <t>Proceso de Preparación y Formulación</t>
        </r>
        <r>
          <rPr>
            <sz val="10"/>
            <color rgb="FF000000"/>
            <rFont val="Calibri"/>
            <family val="2"/>
            <scheme val="minor"/>
          </rPr>
          <t xml:space="preserve">
</t>
        </r>
      </text>
    </comment>
    <comment ref="J35"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Administrativa</t>
        </r>
      </text>
    </comment>
    <comment ref="J36"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de Talento Humano</t>
        </r>
      </text>
    </comment>
    <comment ref="J37"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Administración de recursos y Donaciones en especie</t>
        </r>
      </text>
    </comment>
    <comment ref="J38"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Financiera</t>
        </r>
      </text>
    </comment>
    <comment ref="J39"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Gestión Financiera</t>
        </r>
      </text>
    </comment>
    <comment ref="J41" authorId="1" shapeId="0">
      <text>
        <r>
          <rPr>
            <b/>
            <sz val="10"/>
            <color rgb="FF000000"/>
            <rFont val="Tahoma"/>
            <family val="2"/>
          </rPr>
          <t>Microsoft Office User:</t>
        </r>
        <r>
          <rPr>
            <sz val="10"/>
            <color rgb="FF000000"/>
            <rFont val="Tahoma"/>
            <family val="2"/>
          </rPr>
          <t xml:space="preserve">
</t>
        </r>
        <r>
          <rPr>
            <sz val="10"/>
            <color rgb="FF000000"/>
            <rFont val="Tahoma"/>
            <family val="2"/>
          </rPr>
          <t>Proceso de Administración de recursos y Donaciones en especie</t>
        </r>
      </text>
    </comment>
  </commentList>
</comments>
</file>

<file path=xl/comments2.xml><?xml version="1.0" encoding="utf-8"?>
<comments xmlns="http://schemas.openxmlformats.org/spreadsheetml/2006/main">
  <authors>
    <author>Myriam Cubillos Benavides</author>
  </authors>
  <commentList>
    <comment ref="B8" authorId="0" shapeId="0">
      <text>
        <r>
          <rPr>
            <b/>
            <sz val="9"/>
            <color indexed="81"/>
            <rFont val="Tahoma"/>
            <family val="2"/>
          </rPr>
          <t>Celda parametrizada no modificar</t>
        </r>
        <r>
          <rPr>
            <sz val="9"/>
            <color indexed="81"/>
            <rFont val="Tahoma"/>
            <family val="2"/>
          </rPr>
          <t xml:space="preserve">
</t>
        </r>
      </text>
    </comment>
    <comment ref="C8" authorId="0" shapeId="0">
      <text>
        <r>
          <rPr>
            <b/>
            <sz val="9"/>
            <color indexed="81"/>
            <rFont val="Tahoma"/>
            <family val="2"/>
          </rPr>
          <t>Diligencie número de veces.</t>
        </r>
        <r>
          <rPr>
            <sz val="9"/>
            <color indexed="81"/>
            <rFont val="Tahoma"/>
            <family val="2"/>
          </rPr>
          <t xml:space="preserve">
</t>
        </r>
      </text>
    </comment>
    <comment ref="D8" authorId="0" shapeId="0">
      <text>
        <r>
          <rPr>
            <b/>
            <sz val="9"/>
            <color indexed="81"/>
            <rFont val="Tahoma"/>
            <family val="2"/>
          </rPr>
          <t>Celda parametrizada no modificar.</t>
        </r>
        <r>
          <rPr>
            <sz val="9"/>
            <color indexed="81"/>
            <rFont val="Tahoma"/>
            <family val="2"/>
          </rPr>
          <t xml:space="preserve">
</t>
        </r>
      </text>
    </comment>
    <comment ref="E8" authorId="0" shapeId="0">
      <text>
        <r>
          <rPr>
            <b/>
            <sz val="9"/>
            <color indexed="81"/>
            <rFont val="Tahoma"/>
            <family val="2"/>
          </rPr>
          <t>Celda parametrizada no modificar.</t>
        </r>
        <r>
          <rPr>
            <sz val="9"/>
            <color indexed="81"/>
            <rFont val="Tahoma"/>
            <family val="2"/>
          </rPr>
          <t xml:space="preserve">
</t>
        </r>
      </text>
    </comment>
    <comment ref="F8" authorId="0" shapeId="0">
      <text>
        <r>
          <rPr>
            <b/>
            <sz val="9"/>
            <color indexed="81"/>
            <rFont val="Tahoma"/>
            <family val="2"/>
          </rPr>
          <t>Celda parametrizada no modificar.</t>
        </r>
        <r>
          <rPr>
            <sz val="9"/>
            <color indexed="81"/>
            <rFont val="Tahoma"/>
            <family val="2"/>
          </rPr>
          <t xml:space="preserve">
</t>
        </r>
      </text>
    </comment>
    <comment ref="G8" authorId="0" shapeId="0">
      <text>
        <r>
          <rPr>
            <b/>
            <sz val="9"/>
            <color indexed="81"/>
            <rFont val="Tahoma"/>
            <family val="2"/>
          </rPr>
          <t>Utilice lista de despliegue</t>
        </r>
        <r>
          <rPr>
            <sz val="9"/>
            <color indexed="81"/>
            <rFont val="Tahoma"/>
            <family val="2"/>
          </rPr>
          <t xml:space="preserve">
</t>
        </r>
      </text>
    </comment>
    <comment ref="H8" authorId="0" shapeId="0">
      <text>
        <r>
          <rPr>
            <b/>
            <sz val="9"/>
            <color indexed="81"/>
            <rFont val="Tahoma"/>
            <family val="2"/>
          </rPr>
          <t>Celda parametrizada no modificar.</t>
        </r>
        <r>
          <rPr>
            <sz val="9"/>
            <color indexed="81"/>
            <rFont val="Tahoma"/>
            <family val="2"/>
          </rPr>
          <t xml:space="preserve">
</t>
        </r>
      </text>
    </comment>
    <comment ref="I8" authorId="0" shapeId="0">
      <text>
        <r>
          <rPr>
            <b/>
            <sz val="9"/>
            <color indexed="81"/>
            <rFont val="Tahoma"/>
            <family val="2"/>
          </rPr>
          <t>Celda parametrizada no modificar.</t>
        </r>
        <r>
          <rPr>
            <sz val="9"/>
            <color indexed="81"/>
            <rFont val="Tahoma"/>
            <family val="2"/>
          </rPr>
          <t xml:space="preserve">
</t>
        </r>
      </text>
    </comment>
    <comment ref="J8" authorId="0" shapeId="0">
      <text>
        <r>
          <rPr>
            <b/>
            <sz val="9"/>
            <color indexed="81"/>
            <rFont val="Tahoma"/>
            <family val="2"/>
          </rPr>
          <t>Utilice lista de despliegue.</t>
        </r>
      </text>
    </comment>
    <comment ref="K8" authorId="0" shapeId="0">
      <text>
        <r>
          <rPr>
            <b/>
            <sz val="9"/>
            <color indexed="81"/>
            <rFont val="Tahoma"/>
            <family val="2"/>
          </rPr>
          <t>Celda parametrizada no modificar.</t>
        </r>
        <r>
          <rPr>
            <sz val="9"/>
            <color indexed="81"/>
            <rFont val="Tahoma"/>
            <family val="2"/>
          </rPr>
          <t xml:space="preserve">
</t>
        </r>
      </text>
    </comment>
    <comment ref="L8" authorId="0" shapeId="0">
      <text>
        <r>
          <rPr>
            <b/>
            <sz val="9"/>
            <color indexed="81"/>
            <rFont val="Tahoma"/>
            <family val="2"/>
          </rPr>
          <t>Celda parametrizada no modificar.</t>
        </r>
        <r>
          <rPr>
            <sz val="9"/>
            <color indexed="81"/>
            <rFont val="Tahoma"/>
            <family val="2"/>
          </rPr>
          <t xml:space="preserve">
</t>
        </r>
      </text>
    </comment>
    <comment ref="M8" authorId="0" shapeId="0">
      <text>
        <r>
          <rPr>
            <b/>
            <sz val="9"/>
            <color indexed="81"/>
            <rFont val="Tahoma"/>
            <family val="2"/>
          </rPr>
          <t>Celda parametrizada no modificar.</t>
        </r>
      </text>
    </comment>
    <comment ref="N8" authorId="0" shapeId="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authors>
    <author>Myriam Cubillos Benavides</author>
  </authors>
  <commentList>
    <comment ref="C8" authorId="0" shapeId="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authors>
    <author>Myriam Cubillos Benavides</author>
  </authors>
  <commentList>
    <comment ref="F7" authorId="0" shapeId="0">
      <text>
        <r>
          <rPr>
            <b/>
            <sz val="9"/>
            <color indexed="81"/>
            <rFont val="Tahoma"/>
            <family val="2"/>
          </rPr>
          <t>Inicie redacción del control, de acuerdo con estructura propuesta.</t>
        </r>
        <r>
          <rPr>
            <sz val="9"/>
            <color indexed="81"/>
            <rFont val="Tahoma"/>
            <family val="2"/>
          </rPr>
          <t xml:space="preserve">
</t>
        </r>
      </text>
    </comment>
    <comment ref="G7" authorId="0" shapeId="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text>
        <r>
          <rPr>
            <b/>
            <sz val="9"/>
            <color indexed="81"/>
            <rFont val="Tahoma"/>
            <family val="2"/>
          </rPr>
          <t>Continue redacción aplique atributos de formalización del control.</t>
        </r>
        <r>
          <rPr>
            <sz val="9"/>
            <color indexed="81"/>
            <rFont val="Tahoma"/>
            <family val="2"/>
          </rPr>
          <t xml:space="preserve">
</t>
        </r>
      </text>
    </comment>
    <comment ref="I7" authorId="0" shapeId="0">
      <text>
        <r>
          <rPr>
            <b/>
            <sz val="9"/>
            <color indexed="81"/>
            <rFont val="Tahoma"/>
            <family val="2"/>
          </rPr>
          <t>Concatena redacción del control, NO modificar.</t>
        </r>
        <r>
          <rPr>
            <sz val="9"/>
            <color indexed="81"/>
            <rFont val="Tahoma"/>
            <family val="2"/>
          </rPr>
          <t xml:space="preserve">
</t>
        </r>
      </text>
    </comment>
    <comment ref="J7" authorId="0" shapeId="0">
      <text>
        <r>
          <rPr>
            <b/>
            <sz val="9"/>
            <color indexed="81"/>
            <rFont val="Tahoma"/>
            <family val="2"/>
          </rPr>
          <t>Utilice lista de despliegue.</t>
        </r>
        <r>
          <rPr>
            <sz val="9"/>
            <color indexed="81"/>
            <rFont val="Tahoma"/>
            <family val="2"/>
          </rPr>
          <t xml:space="preserve">
</t>
        </r>
      </text>
    </comment>
    <comment ref="K7" authorId="0" shapeId="0">
      <text>
        <r>
          <rPr>
            <b/>
            <sz val="9"/>
            <color indexed="81"/>
            <rFont val="Tahoma"/>
            <family val="2"/>
          </rPr>
          <t>Celda parametrizada NO modificar.</t>
        </r>
        <r>
          <rPr>
            <sz val="9"/>
            <color indexed="81"/>
            <rFont val="Tahoma"/>
            <family val="2"/>
          </rPr>
          <t xml:space="preserve">
</t>
        </r>
      </text>
    </comment>
    <comment ref="L7" authorId="0" shapeId="0">
      <text>
        <r>
          <rPr>
            <b/>
            <sz val="9"/>
            <color indexed="81"/>
            <rFont val="Tahoma"/>
            <family val="2"/>
          </rPr>
          <t>Celda parametrizada NO modificar.</t>
        </r>
        <r>
          <rPr>
            <sz val="9"/>
            <color indexed="81"/>
            <rFont val="Tahoma"/>
            <family val="2"/>
          </rPr>
          <t xml:space="preserve">
</t>
        </r>
      </text>
    </comment>
    <comment ref="M7" authorId="0" shapeId="0">
      <text>
        <r>
          <rPr>
            <b/>
            <sz val="9"/>
            <color indexed="81"/>
            <rFont val="Tahoma"/>
            <family val="2"/>
          </rPr>
          <t>Utilice lista de despliegue.</t>
        </r>
        <r>
          <rPr>
            <sz val="9"/>
            <color indexed="81"/>
            <rFont val="Tahoma"/>
            <family val="2"/>
          </rPr>
          <t xml:space="preserve">
</t>
        </r>
      </text>
    </comment>
    <comment ref="N7" authorId="0" shapeId="0">
      <text>
        <r>
          <rPr>
            <b/>
            <sz val="9"/>
            <color indexed="81"/>
            <rFont val="Tahoma"/>
            <family val="2"/>
          </rPr>
          <t>Celda parametrizada NO modificar.</t>
        </r>
        <r>
          <rPr>
            <sz val="9"/>
            <color indexed="81"/>
            <rFont val="Tahoma"/>
            <family val="2"/>
          </rPr>
          <t xml:space="preserve">
</t>
        </r>
      </text>
    </comment>
    <comment ref="O7" authorId="0" shapeId="0">
      <text>
        <r>
          <rPr>
            <b/>
            <sz val="9"/>
            <color indexed="81"/>
            <rFont val="Tahoma"/>
            <family val="2"/>
          </rPr>
          <t>Utilice lista de despliegue.</t>
        </r>
        <r>
          <rPr>
            <sz val="9"/>
            <color indexed="81"/>
            <rFont val="Tahoma"/>
            <family val="2"/>
          </rPr>
          <t xml:space="preserve">
</t>
        </r>
      </text>
    </comment>
    <comment ref="P7" authorId="0" shapeId="0">
      <text>
        <r>
          <rPr>
            <b/>
            <sz val="9"/>
            <color indexed="81"/>
            <rFont val="Tahoma"/>
            <family val="2"/>
          </rPr>
          <t>Utilice lista de despliegue.</t>
        </r>
        <r>
          <rPr>
            <sz val="9"/>
            <color indexed="81"/>
            <rFont val="Tahoma"/>
            <family val="2"/>
          </rPr>
          <t xml:space="preserve">
</t>
        </r>
      </text>
    </comment>
    <comment ref="Q7" authorId="0" shapeId="0">
      <text>
        <r>
          <rPr>
            <b/>
            <sz val="9"/>
            <color indexed="81"/>
            <rFont val="Tahoma"/>
            <family val="2"/>
          </rPr>
          <t>Utilice lista de despliegue.</t>
        </r>
        <r>
          <rPr>
            <sz val="9"/>
            <color indexed="81"/>
            <rFont val="Tahoma"/>
            <family val="2"/>
          </rPr>
          <t xml:space="preserve">
</t>
        </r>
      </text>
    </comment>
    <comment ref="R7" authorId="0" shapeId="0">
      <text>
        <r>
          <rPr>
            <b/>
            <sz val="9"/>
            <color indexed="81"/>
            <rFont val="Tahoma"/>
            <family val="2"/>
          </rPr>
          <t>Utilice lista de despliegue.</t>
        </r>
        <r>
          <rPr>
            <sz val="9"/>
            <color indexed="81"/>
            <rFont val="Tahoma"/>
            <family val="2"/>
          </rPr>
          <t xml:space="preserve">
</t>
        </r>
      </text>
    </comment>
    <comment ref="S7" authorId="0" shapeId="0">
      <text>
        <r>
          <rPr>
            <b/>
            <sz val="9"/>
            <color indexed="81"/>
            <rFont val="Tahoma"/>
            <family val="2"/>
          </rPr>
          <t>Celda parametrizada NO modificar.</t>
        </r>
        <r>
          <rPr>
            <sz val="9"/>
            <color indexed="81"/>
            <rFont val="Tahoma"/>
            <family val="2"/>
          </rPr>
          <t xml:space="preserve">
</t>
        </r>
      </text>
    </comment>
    <comment ref="T7" authorId="0" shapeId="0">
      <text>
        <r>
          <rPr>
            <b/>
            <sz val="9"/>
            <color indexed="81"/>
            <rFont val="Tahoma"/>
            <family val="2"/>
          </rPr>
          <t>Celda parametrizada NO modificar.</t>
        </r>
        <r>
          <rPr>
            <sz val="9"/>
            <color indexed="81"/>
            <rFont val="Tahoma"/>
            <family val="2"/>
          </rPr>
          <t xml:space="preserve">
</t>
        </r>
      </text>
    </comment>
    <comment ref="U7" authorId="0" shapeId="0">
      <text>
        <r>
          <rPr>
            <b/>
            <sz val="9"/>
            <color indexed="81"/>
            <rFont val="Tahoma"/>
            <family val="2"/>
          </rPr>
          <t>Celda parametrizada NO modificar.</t>
        </r>
        <r>
          <rPr>
            <sz val="9"/>
            <color indexed="81"/>
            <rFont val="Tahoma"/>
            <family val="2"/>
          </rPr>
          <t xml:space="preserve">
</t>
        </r>
      </text>
    </comment>
    <comment ref="V7" authorId="0" shapeId="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authors>
    <author>Myriam Cubillos Benavides</author>
  </authors>
  <commentList>
    <comment ref="C6" authorId="0" shapeId="0">
      <text>
        <r>
          <rPr>
            <b/>
            <sz val="9"/>
            <color indexed="81"/>
            <rFont val="Tahoma"/>
            <family val="2"/>
          </rPr>
          <t>Celda parametrizada NO modificar.</t>
        </r>
        <r>
          <rPr>
            <sz val="9"/>
            <color indexed="81"/>
            <rFont val="Tahoma"/>
            <family val="2"/>
          </rPr>
          <t xml:space="preserve">
</t>
        </r>
      </text>
    </comment>
    <comment ref="D6" authorId="0" shapeId="0">
      <text>
        <r>
          <rPr>
            <b/>
            <sz val="9"/>
            <color indexed="81"/>
            <rFont val="Tahoma"/>
            <family val="2"/>
          </rPr>
          <t>Celda parametrizada NO modificar.</t>
        </r>
      </text>
    </comment>
    <comment ref="F7" authorId="0" shapeId="0">
      <text>
        <r>
          <rPr>
            <b/>
            <sz val="9"/>
            <color indexed="81"/>
            <rFont val="Tahoma"/>
            <family val="2"/>
          </rPr>
          <t>Inicie redacción del control, de acuerdo con estructura propuesta</t>
        </r>
      </text>
    </comment>
    <comment ref="G7" authorId="0" shapeId="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text>
        <r>
          <rPr>
            <b/>
            <sz val="9"/>
            <color indexed="81"/>
            <rFont val="Tahoma"/>
            <family val="2"/>
          </rPr>
          <t>Continue redacción, aplique atributos de formalización del control.</t>
        </r>
        <r>
          <rPr>
            <sz val="9"/>
            <color indexed="81"/>
            <rFont val="Tahoma"/>
            <family val="2"/>
          </rPr>
          <t xml:space="preserve">
</t>
        </r>
      </text>
    </comment>
    <comment ref="I7" authorId="0" shapeId="0">
      <text>
        <r>
          <rPr>
            <b/>
            <sz val="9"/>
            <color indexed="81"/>
            <rFont val="Tahoma"/>
            <family val="2"/>
          </rPr>
          <t>Celda conctena redacción del control NO modifique.</t>
        </r>
        <r>
          <rPr>
            <sz val="9"/>
            <color indexed="81"/>
            <rFont val="Tahoma"/>
            <family val="2"/>
          </rPr>
          <t xml:space="preserve">
</t>
        </r>
      </text>
    </comment>
    <comment ref="K7" authorId="0" shapeId="0">
      <text>
        <r>
          <rPr>
            <b/>
            <sz val="9"/>
            <color indexed="81"/>
            <rFont val="Tahoma"/>
            <family val="2"/>
          </rPr>
          <t>Celda parametrizada NO modificar.</t>
        </r>
        <r>
          <rPr>
            <sz val="9"/>
            <color indexed="81"/>
            <rFont val="Tahoma"/>
            <family val="2"/>
          </rPr>
          <t xml:space="preserve">
</t>
        </r>
      </text>
    </comment>
    <comment ref="L7" authorId="0" shapeId="0">
      <text>
        <r>
          <rPr>
            <b/>
            <sz val="9"/>
            <color indexed="81"/>
            <rFont val="Tahoma"/>
            <family val="2"/>
          </rPr>
          <t>Celda parametrizada NO modificar.</t>
        </r>
        <r>
          <rPr>
            <sz val="9"/>
            <color indexed="81"/>
            <rFont val="Tahoma"/>
            <family val="2"/>
          </rPr>
          <t xml:space="preserve">
</t>
        </r>
      </text>
    </comment>
    <comment ref="M7" authorId="0" shapeId="0">
      <text>
        <r>
          <rPr>
            <b/>
            <sz val="9"/>
            <color indexed="81"/>
            <rFont val="Tahoma"/>
            <family val="2"/>
          </rPr>
          <t>Utilice lista de despliegue.</t>
        </r>
        <r>
          <rPr>
            <sz val="9"/>
            <color indexed="81"/>
            <rFont val="Tahoma"/>
            <family val="2"/>
          </rPr>
          <t xml:space="preserve">
</t>
        </r>
      </text>
    </comment>
    <comment ref="N7" authorId="0" shapeId="0">
      <text>
        <r>
          <rPr>
            <b/>
            <sz val="9"/>
            <color indexed="81"/>
            <rFont val="Tahoma"/>
            <family val="2"/>
          </rPr>
          <t>Celda parametrizada NO modificar.</t>
        </r>
        <r>
          <rPr>
            <sz val="9"/>
            <color indexed="81"/>
            <rFont val="Tahoma"/>
            <family val="2"/>
          </rPr>
          <t xml:space="preserve">
</t>
        </r>
      </text>
    </comment>
    <comment ref="O7" authorId="0" shapeId="0">
      <text>
        <r>
          <rPr>
            <b/>
            <sz val="9"/>
            <color indexed="81"/>
            <rFont val="Tahoma"/>
            <family val="2"/>
          </rPr>
          <t>Utilice lista de despliegue.</t>
        </r>
      </text>
    </comment>
    <comment ref="P7" authorId="0" shapeId="0">
      <text>
        <r>
          <rPr>
            <b/>
            <sz val="9"/>
            <color indexed="81"/>
            <rFont val="Tahoma"/>
            <family val="2"/>
          </rPr>
          <t>Utilice lista de despliegue.</t>
        </r>
        <r>
          <rPr>
            <sz val="9"/>
            <color indexed="81"/>
            <rFont val="Tahoma"/>
            <family val="2"/>
          </rPr>
          <t xml:space="preserve">
</t>
        </r>
      </text>
    </comment>
    <comment ref="R7" authorId="0" shapeId="0">
      <text>
        <r>
          <rPr>
            <b/>
            <sz val="9"/>
            <color indexed="81"/>
            <rFont val="Tahoma"/>
            <family val="2"/>
          </rPr>
          <t>Utilice lista de despliegue.</t>
        </r>
        <r>
          <rPr>
            <sz val="9"/>
            <color indexed="81"/>
            <rFont val="Tahoma"/>
            <family val="2"/>
          </rPr>
          <t xml:space="preserve">
</t>
        </r>
      </text>
    </comment>
    <comment ref="S7" authorId="0" shapeId="0">
      <text>
        <r>
          <rPr>
            <b/>
            <sz val="9"/>
            <color indexed="81"/>
            <rFont val="Tahoma"/>
            <family val="2"/>
          </rPr>
          <t>Celda parametrizada NO modifcar</t>
        </r>
        <r>
          <rPr>
            <sz val="9"/>
            <color indexed="81"/>
            <rFont val="Tahoma"/>
            <family val="2"/>
          </rPr>
          <t xml:space="preserve">
</t>
        </r>
      </text>
    </comment>
    <comment ref="T7" authorId="0" shapeId="0">
      <text>
        <r>
          <rPr>
            <b/>
            <sz val="9"/>
            <color indexed="81"/>
            <rFont val="Tahoma"/>
            <family val="2"/>
          </rPr>
          <t>Celda parametrizada NO modificar</t>
        </r>
      </text>
    </comment>
    <comment ref="U7" authorId="0" shapeId="0">
      <text>
        <r>
          <rPr>
            <b/>
            <sz val="9"/>
            <color indexed="81"/>
            <rFont val="Tahoma"/>
            <family val="2"/>
          </rPr>
          <t>Celda parametrizada NO modificar</t>
        </r>
        <r>
          <rPr>
            <sz val="9"/>
            <color indexed="81"/>
            <rFont val="Tahoma"/>
            <family val="2"/>
          </rPr>
          <t xml:space="preserve">
</t>
        </r>
      </text>
    </comment>
    <comment ref="V7" authorId="0" shapeId="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authors>
    <author>Myriam Cubillos Benavides</author>
  </authors>
  <commentList>
    <comment ref="E7" authorId="0" shapeId="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authors>
    <author>Myriam Cubillos Benavides</author>
  </authors>
  <commentList>
    <comment ref="B13" authorId="0" shapeId="0">
      <text>
        <r>
          <rPr>
            <b/>
            <sz val="9"/>
            <color indexed="81"/>
            <rFont val="Tahoma"/>
            <family val="2"/>
          </rPr>
          <t>Celdas parametrizadas NO modificar.</t>
        </r>
        <r>
          <rPr>
            <sz val="9"/>
            <color indexed="81"/>
            <rFont val="Tahoma"/>
            <family val="2"/>
          </rPr>
          <t xml:space="preserve">
</t>
        </r>
      </text>
    </comment>
    <comment ref="D13" authorId="0" shapeId="0">
      <text>
        <r>
          <rPr>
            <b/>
            <sz val="9"/>
            <color indexed="81"/>
            <rFont val="Tahoma"/>
            <family val="2"/>
          </rPr>
          <t>Celdas parametrizadas NO modificar.</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<sst xmlns="http://schemas.openxmlformats.org/spreadsheetml/2006/main" count="1474" uniqueCount="557">
  <si>
    <t>Matriz Mapa de Riesgos</t>
  </si>
  <si>
    <t>Orientaciones Generales</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</si>
  <si>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</si>
  <si>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</si>
  <si>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</si>
  <si>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</si>
  <si>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</si>
  <si>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</si>
  <si>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</si>
  <si>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</si>
  <si>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</si>
  <si>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</si>
  <si>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</si>
  <si>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</si>
  <si>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</si>
  <si>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</si>
  <si>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</si>
  <si>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</si>
  <si>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</si>
  <si>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</si>
  <si>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</si>
  <si>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</si>
  <si>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</si>
  <si>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</si>
  <si>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</si>
  <si>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</si>
  <si>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</si>
  <si>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</si>
  <si>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</si>
  <si>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</si>
  <si>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</si>
  <si>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</si>
  <si>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</si>
  <si>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</si>
  <si>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</si>
  <si>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</si>
  <si>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</si>
  <si>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</si>
  <si>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</si>
  <si>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</si>
  <si>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</si>
  <si>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</si>
  <si>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</si>
  <si>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</si>
  <si>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</si>
  <si>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</si>
  <si>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Atributos de formalización del control</t>
  </si>
  <si>
    <t>Valor Total del Control</t>
  </si>
  <si>
    <t>Se calcula automáticamente:
Peso del Control + Peso de la implementación</t>
  </si>
  <si>
    <t>Probabilidad residual</t>
  </si>
  <si>
    <t>Se calcula automáticamente de acuerdo con el número de controles definidos (de forma acumulativa). Una vez calcule el último control en % Probabilidad Residual digite el valor final, automáticamente se refleja la colorimetría correspondiente.</t>
  </si>
  <si>
    <t>Impacto Residual</t>
  </si>
  <si>
    <t>Se calcula automáticamente de acuerdo con el número de controles definidos (de forma acumulativa). Una vez calcule el último control en % Impacto Residual digite el valor final, automáticamente se refleja la colorimetría correspondiente.</t>
  </si>
  <si>
    <t>MAPA DE RIESGOS</t>
  </si>
  <si>
    <t>VERSIÓN:</t>
  </si>
  <si>
    <t>ENTIDAD:</t>
  </si>
  <si>
    <t>AGENCIA PRESIDENCIAL DE COOPERACIÓN INTERNACIONAL DE COLOMBIA APC COLOMBIA</t>
  </si>
  <si>
    <t>PROCESO:</t>
  </si>
  <si>
    <t>OBJETIVO DEL PROCESO:</t>
  </si>
  <si>
    <t xml:space="preserve">Vigencia: </t>
  </si>
  <si>
    <t>Del</t>
  </si>
  <si>
    <t>Al</t>
  </si>
  <si>
    <t>No. de Riesgo
(Mismo consecutivo para toda la entidad)</t>
  </si>
  <si>
    <t>FACTOR DEL RIESGO</t>
  </si>
  <si>
    <t>FACTOR DE RIESGO</t>
  </si>
  <si>
    <t>SELECCIONE FUENTE GENERADORA DEL EVENTO</t>
  </si>
  <si>
    <t>VALIDACIÓN FUENTE GENERADORA DEL EVENTO PARA TIPO A,B,C,D</t>
  </si>
  <si>
    <t>DESCRIPCIÓN DEL TIPO DE FACTOR DE RIESGO</t>
  </si>
  <si>
    <t>TIPOLOGÍA</t>
  </si>
  <si>
    <t>SUB CAUSAS (Si aplica)</t>
  </si>
  <si>
    <t>R1</t>
  </si>
  <si>
    <t>Ejecución_administración_de_procesos</t>
  </si>
  <si>
    <t>Falta de aplicación de los procedimientos</t>
  </si>
  <si>
    <t>Gestión</t>
  </si>
  <si>
    <t>Posibilidad de afectación reputacional</t>
  </si>
  <si>
    <t xml:space="preserve"> queja, reclamo o llamado de atención interno o externo.</t>
  </si>
  <si>
    <t>debido a un seguimiento inoportuno a la planeación institucional.</t>
  </si>
  <si>
    <t>R2</t>
  </si>
  <si>
    <t>Talento_Humano</t>
  </si>
  <si>
    <t xml:space="preserve">Gestión inadecuada de conflicto de Intereses </t>
  </si>
  <si>
    <t>Fiscal</t>
  </si>
  <si>
    <t>Posibilidad  de efecto dañoso sobre el recurso público</t>
  </si>
  <si>
    <t xml:space="preserve">    la generación de intereses moratorios en las planillas de seguridad social</t>
  </si>
  <si>
    <t xml:space="preserve">    no reporte de novedades dentro de los plazos establecidos</t>
  </si>
  <si>
    <t>R3</t>
  </si>
  <si>
    <t>Acciones contrarias a las leyes o acuerdos contractuales</t>
  </si>
  <si>
    <t>Posibilidad de afectación económica y reputacional</t>
  </si>
  <si>
    <t xml:space="preserve">  un retraso en la adquisición de bienes y/o servicios requeridos para el normal funcionamiento de la Entidad, e incumplimiento de las funciones u objetivos previstos con la adquisición de estos bienes, servicios y obras.</t>
  </si>
  <si>
    <t>desconocimiento u omisión de la normatividad, para beneficiar a un oferente</t>
  </si>
  <si>
    <t>R4</t>
  </si>
  <si>
    <t xml:space="preserve"> daño antijurídico en la actuación de la Agencia.</t>
  </si>
  <si>
    <t xml:space="preserve"> la ilegalidad del acto administrativo que pueda afectar los intereses de la misma o a terceros y en consecuencia dar lugar a conciliaciones extrajudiciales y/o judiciales y/o  demandas y/o denuncias y/o condenas en contra de la Agencia. </t>
  </si>
  <si>
    <t>R5</t>
  </si>
  <si>
    <t xml:space="preserve"> pérdida de credibilidad en el ejercicio auditor.</t>
  </si>
  <si>
    <t xml:space="preserve"> de emitir conclusiones, recomendaciones, hallazgos erróneos u omisiones en las actividades de auditoría interna.</t>
  </si>
  <si>
    <t>R6</t>
  </si>
  <si>
    <t xml:space="preserve"> la veracidad de la información a difundir.</t>
  </si>
  <si>
    <t>que las direcciones / dependencias entregan información parcial o sin confirmar y fuera de tiempos.</t>
  </si>
  <si>
    <t>R7</t>
  </si>
  <si>
    <t xml:space="preserve"> gestión del conflicto</t>
  </si>
  <si>
    <t xml:space="preserve"> la matriz de levantamiento de activos.</t>
  </si>
  <si>
    <t>R8</t>
  </si>
  <si>
    <t xml:space="preserve"> pérdida de los recursos entregados en administración.</t>
  </si>
  <si>
    <t xml:space="preserve"> entregar los recursos, sin el cumplimiento de los requisitos y no realizar los controles establecidos en la normatividad vigente. </t>
  </si>
  <si>
    <t>R9</t>
  </si>
  <si>
    <t xml:space="preserve"> baja ejecución de proyectos e iniciativas de cooperación Sur-Sur. </t>
  </si>
  <si>
    <t>cambios en las dinámicas de la Cooperación Sur-Sur,  así como factores propios de países socios:
cambios de Gobierno, restricciones presupuestales, entre otros.</t>
  </si>
  <si>
    <t>R10</t>
  </si>
  <si>
    <t>Posibilidad de afectación económica</t>
  </si>
  <si>
    <t xml:space="preserve"> no reporte o no rendir informes sobre el uso o destinación de los recursos entregados a otros países y otras entidades</t>
  </si>
  <si>
    <t>la no entrega de los informes.</t>
  </si>
  <si>
    <t>R11</t>
  </si>
  <si>
    <t>Falta segregación de funciones</t>
  </si>
  <si>
    <t xml:space="preserve"> factores propios del país: cambios de Gobierno, restricciones presupuestales, incumplimiento en la ejecucion del proyecto y/o iniciativa, entre otros.</t>
  </si>
  <si>
    <t>Baja ejecución de proyectos e iniciativas del Plan Estrategicos de Tecnologias de la Información (PETI).</t>
  </si>
  <si>
    <t>R12</t>
  </si>
  <si>
    <t xml:space="preserve"> el incumplimiento de compromisos institucionales, normatividad, demandas o  acciones disciplinarias.</t>
  </si>
  <si>
    <t xml:space="preserve">   a la inadeacuada custodia, ingreso y/o salida e inoportuna gestión y registro en el sistema de información.</t>
  </si>
  <si>
    <t>R14</t>
  </si>
  <si>
    <t xml:space="preserve"> pérdidas economicas, de imagen y/o reputacionales.</t>
  </si>
  <si>
    <t>ingreso de personal sin autorización y falta de control en en los prestamos de documentación y/o activos.</t>
  </si>
  <si>
    <t>R15</t>
  </si>
  <si>
    <t xml:space="preserve"> susceptible a retrasos en los procesos internos por falta de la información requerida.</t>
  </si>
  <si>
    <t xml:space="preserve"> a ingreso de personal no autorizado y falta de control en el préstamo de expedientes.</t>
  </si>
  <si>
    <t>R16</t>
  </si>
  <si>
    <t xml:space="preserve"> demora en la asignación de las peticiones, quejas, reclamos, sugerencias y denuncias, a las diferentes direcciones y/o grupo de valor interesados, que por competencia deben tramitar la solicitud.</t>
  </si>
  <si>
    <t>la respuesta inoportuna a las PQRSD.</t>
  </si>
  <si>
    <t>R17</t>
  </si>
  <si>
    <t xml:space="preserve"> Carencia o insuficiencia de PAC.</t>
  </si>
  <si>
    <t xml:space="preserve"> a las áreas no realizan la solicitud de cupo PAC en las fechas estipuladas
Minhacienda no autoriza la solicitud del total de cupo PAC, debido a la no ejecución en el mes inmediatamente anterior.</t>
  </si>
  <si>
    <t>R18</t>
  </si>
  <si>
    <t xml:space="preserve">  el registro de información sin soportes completos y precisos.</t>
  </si>
  <si>
    <t xml:space="preserve"> suministro de información al proceso contable de forma incompleta o sin verificación.</t>
  </si>
  <si>
    <t>R19</t>
  </si>
  <si>
    <t>Acciones contrarias a las leyes o acuerdos de empleo, salud o seguridad en el trabajo</t>
  </si>
  <si>
    <t xml:space="preserve"> sanción y/o multa.</t>
  </si>
  <si>
    <t xml:space="preserve"> al incumplimiento legal de los requisitos del Sistema de gestión de seguridad y salud en el trabajo (SG-SST).</t>
  </si>
  <si>
    <t>R20</t>
  </si>
  <si>
    <t>R21</t>
  </si>
  <si>
    <t xml:space="preserve"> la reclamación de la DIAN y queja y/o sanción de los organismos de vigilancia y control.</t>
  </si>
  <si>
    <t xml:space="preserve">  incumplimiento en los requisitos para tramitar donaciones por parte de la Agencia.</t>
  </si>
  <si>
    <t>R22</t>
  </si>
  <si>
    <t xml:space="preserve"> baja alineación de las prioridades de los cooperantes internacionales con las prioridades definidas en la ENCI 2023-2027</t>
  </si>
  <si>
    <t>la debilidad en el posicionamiento de APC-Colombia como coordinador técnico de la AOD no reembolsable que recibe el país.</t>
  </si>
  <si>
    <t>R23</t>
  </si>
  <si>
    <t>Tecnología</t>
  </si>
  <si>
    <t>Errores en programas</t>
  </si>
  <si>
    <t xml:space="preserve"> divulgación de información errada de la cooperación internacional recibida por Colombia y a la que puede acceder el país.</t>
  </si>
  <si>
    <t xml:space="preserve">  fallas en el sistema de información de la cooperación internacional (CICLOPE) y/o fallas en la validación de la información registrada.</t>
  </si>
  <si>
    <t>R24</t>
  </si>
  <si>
    <t>Evento_externo</t>
  </si>
  <si>
    <t>Fraude Externo</t>
  </si>
  <si>
    <t xml:space="preserve"> obtener beneficios tributarios </t>
  </si>
  <si>
    <t>que no cumplen con los requisitos del Decreto 1651 de 2021</t>
  </si>
  <si>
    <t>R25</t>
  </si>
  <si>
    <t>Integridad_Pública_Corrupción</t>
  </si>
  <si>
    <t>sanción, multa o penalidad</t>
  </si>
  <si>
    <t xml:space="preserve">  la indebida supervisión de los contratos o convenios suscritos</t>
  </si>
  <si>
    <t>R26</t>
  </si>
  <si>
    <t xml:space="preserve"> una sanción de las autoridades competentes</t>
  </si>
  <si>
    <t xml:space="preserve"> favorecimiento indebido a un tercero con los recursos asignados de contrapartida</t>
  </si>
  <si>
    <t>R27</t>
  </si>
  <si>
    <t xml:space="preserve"> la destinación indebida de los recursos asignados a una iniciativa de contrapartidas, durante su fase de ejecución</t>
  </si>
  <si>
    <t>R28</t>
  </si>
  <si>
    <t>Pérdida, desvió y/o destinación indebida de los recursos asignados a la caja menor</t>
  </si>
  <si>
    <t xml:space="preserve"> incumplimiento de los lineamientos establecidos por la Agencia para la administración de la caja menor</t>
  </si>
  <si>
    <t>R29</t>
  </si>
  <si>
    <t>Corrupción</t>
  </si>
  <si>
    <t xml:space="preserve"> revocatoria de nombramiento y sanciones disciplinarias </t>
  </si>
  <si>
    <t>incumplimiento en la verificación y  certificación de requisitos exigidos para el desempeño del empleo público</t>
  </si>
  <si>
    <t>R30</t>
  </si>
  <si>
    <t xml:space="preserve"> la reclamación  del donante</t>
  </si>
  <si>
    <t>ausencia en el seguimiento frente a la entrega final de la donación realizada por el donante</t>
  </si>
  <si>
    <t>R31</t>
  </si>
  <si>
    <t>Fraude interno</t>
  </si>
  <si>
    <t xml:space="preserve">la desviación de los recursos financieros consignados en las cuentas bancarias autorizadas para la Agencia </t>
  </si>
  <si>
    <t>incumplimiento en la aplicación del protocolo de seguridad y manejo cuentas autorizadas por el Ministerio de Hacienda</t>
  </si>
  <si>
    <t>R32</t>
  </si>
  <si>
    <t xml:space="preserve"> la insuficiencia de controles adecuados para el registro de cuentas por pagar y obligaciones</t>
  </si>
  <si>
    <t xml:space="preserve"> la falta de seguimiento y control por parte de los supervisores de contrato u orden de compra</t>
  </si>
  <si>
    <t>R33</t>
  </si>
  <si>
    <t>Esta hoja se utiliza para realizar cálculos en las demás, en ella no se ingresan datos</t>
  </si>
  <si>
    <t>NO REQUIERE CLAVE PARA DESBLOQUEAR LAS HOJAS</t>
  </si>
  <si>
    <t>Eficiencia</t>
  </si>
  <si>
    <t xml:space="preserve">Atributos formalización del control </t>
  </si>
  <si>
    <t>Tratamiento</t>
  </si>
  <si>
    <t>¿QUÉ? IMPACTO</t>
  </si>
  <si>
    <t>Estado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</si>
  <si>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</si>
  <si>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</si>
  <si>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</si>
  <si>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</si>
  <si>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</si>
  <si>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</si>
  <si>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</si>
  <si>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</si>
  <si>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</si>
  <si>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</si>
  <si>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</si>
  <si>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</si>
  <si>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</si>
  <si>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</si>
  <si>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</si>
  <si>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</si>
  <si>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</si>
  <si>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</si>
  <si>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</si>
  <si>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</si>
  <si>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</si>
  <si>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</si>
  <si>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</si>
  <si>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</si>
  <si>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</si>
  <si>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</si>
  <si>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</si>
  <si>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</si>
  <si>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</si>
  <si>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</si>
  <si>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</si>
  <si>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</si>
  <si>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</si>
  <si>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</si>
  <si>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</si>
  <si>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</si>
  <si>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</si>
  <si>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</si>
  <si>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</si>
  <si>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</si>
  <si>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</si>
  <si>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</si>
  <si>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F_Usuarios_Productos_y_Prácticas_Organizacionales</t>
  </si>
  <si>
    <t>G_Daños_Activos_Físicos</t>
  </si>
  <si>
    <t>Tecnologías</t>
  </si>
  <si>
    <t>Seg. de la Información</t>
  </si>
  <si>
    <t>Infraestructura</t>
  </si>
  <si>
    <t>Integridad Pùblica - Corrupción</t>
  </si>
  <si>
    <t>Integridad Pùblica - LA/FT/FP</t>
  </si>
  <si>
    <t>Seguridad_Información</t>
  </si>
  <si>
    <t>Integridad_Pública_LA_FT_FP</t>
  </si>
  <si>
    <t>Posibilidad de perdida de integridad</t>
  </si>
  <si>
    <t>Posibilidad  de efecto dañoso sobre bienes de uso público</t>
  </si>
  <si>
    <t>Posibilidad de perdida de confidencialidad</t>
  </si>
  <si>
    <t>Posibilidad  de efecto dañoso sobre bienes de uso fiscal</t>
  </si>
  <si>
    <t>Posibilidad de perdida de disponibilidad</t>
  </si>
  <si>
    <t>Posibilidad  de efecto dañoso sobre el interes patrimonial</t>
  </si>
  <si>
    <t>Descripción</t>
  </si>
  <si>
    <t>Transacción_u_Operación_aplica_para_LA_FT_FP</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</si>
  <si>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</si>
  <si>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Contrapartes de la entidad (naturales o jurídicas)</t>
  </si>
  <si>
    <t>Daño de equipos</t>
  </si>
  <si>
    <t>Derrumbes</t>
  </si>
  <si>
    <t>Eventos relacionados con transacciones y Operaciones realizadas por un cliente o usuario, que accede o entrega un bien o servicio a la entidad, a través de los canales dispuestos y en una jurisdicción específica.</t>
  </si>
  <si>
    <t xml:space="preserve">Productos (bienes o servicios) que oferta/requiere </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</si>
  <si>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</si>
  <si>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</si>
  <si>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</si>
  <si>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</si>
  <si>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</si>
  <si>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</si>
  <si>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</si>
  <si>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Caída de redes</t>
  </si>
  <si>
    <t>Inundaciones</t>
  </si>
  <si>
    <t>Asalto a la oficina</t>
  </si>
  <si>
    <t>Eventos relacionados con la infraestructura tecnológica de la entidad.</t>
  </si>
  <si>
    <t>Errores en cálculos para pagos internos y externos</t>
  </si>
  <si>
    <t>Jurisdicciones (nacional o territorial)</t>
  </si>
  <si>
    <t>Errores en hardware o software</t>
  </si>
  <si>
    <t>Daños a activos fijos</t>
  </si>
  <si>
    <t>Atentados, vandalismo, orden público</t>
  </si>
  <si>
    <t>Eventos relacionados con la infraestructura física de la entidad.</t>
  </si>
  <si>
    <t>Falta de supervisión o interventoría</t>
  </si>
  <si>
    <t>Eventos por situaciones externas que afectan la entidad.</t>
  </si>
  <si>
    <t xml:space="preserve">Alta rotación o insuficiencia de personal </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</si>
  <si>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</si>
  <si>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</si>
  <si>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</si>
  <si>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</si>
  <si>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</si>
  <si>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</si>
  <si>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</si>
  <si>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</si>
  <si>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</si>
  <si>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</si>
  <si>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</si>
  <si>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Combinación análisis documental y sistemas de información de apoyo</t>
  </si>
  <si>
    <t>Se aplican análisis documentales y registros en sistemas de información de apoyo.</t>
  </si>
  <si>
    <t>Siempre que se ejecuta la actividad</t>
  </si>
  <si>
    <t>La oportunidad en que se ejecuta el control debe ayudar a prevenir la mitigación del riesgo o a detectar la materialización del riesgo de manera oportuna.</t>
  </si>
  <si>
    <t>Diario</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</si>
  <si>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</si>
  <si>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</si>
  <si>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</si>
  <si>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</si>
  <si>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</si>
  <si>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</si>
  <si>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t>Combinado (manual y electrónico)</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</si>
  <si>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</si>
  <si>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</si>
  <si>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</si>
  <si>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</si>
  <si>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</si>
  <si>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</si>
  <si>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</si>
  <si>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</si>
  <si>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</si>
  <si>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</si>
  <si>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</si>
  <si>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</si>
  <si>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</si>
  <si>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</si>
  <si>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</si>
  <si>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</si>
  <si>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</si>
  <si>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</si>
  <si>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</si>
  <si>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</si>
  <si>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</si>
  <si>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</si>
  <si>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</si>
  <si>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</si>
  <si>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la entidad con algunos usuarios de relevancia frente al logro de los objetivos.</t>
  </si>
  <si>
    <t>Muy Baja</t>
  </si>
  <si>
    <t>La actividad que conlleva el riesgo se ejecuta como máximos 2 veces por año</t>
  </si>
  <si>
    <t>Leve</t>
  </si>
  <si>
    <t>Menor a 10 SMLMV</t>
  </si>
  <si>
    <t>El riesgo afecta la imagen de algún área de la organización.</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</si>
  <si>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</si>
  <si>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</si>
  <si>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</si>
  <si>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</si>
  <si>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</si>
  <si>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</si>
  <si>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</si>
  <si>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</si>
  <si>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</si>
  <si>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</si>
  <si>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</si>
  <si>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</si>
  <si>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</si>
  <si>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</si>
  <si>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</si>
  <si>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</si>
  <si>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</si>
  <si>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</si>
  <si>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</si>
  <si>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Zona Riesgo Baja</t>
  </si>
  <si>
    <t xml:space="preserve">Zona Riesgo Moderada </t>
  </si>
  <si>
    <t>Zona Riesgo Alta</t>
  </si>
  <si>
    <t>Zona Riesgo Extrema</t>
  </si>
  <si>
    <t>MAPA DE CALOR RIESGO INHERENTE</t>
  </si>
  <si>
    <t>CALIFICACIÓN RIESGO INHERENTE</t>
  </si>
  <si>
    <t>No. DEL RIESGO</t>
  </si>
  <si>
    <t>RIESGO</t>
  </si>
  <si>
    <t>SEVERIDAD (NIVEL DE RIESGO)</t>
  </si>
  <si>
    <t>Alto</t>
  </si>
  <si>
    <t>Extremo</t>
  </si>
  <si>
    <t>Bajo</t>
  </si>
  <si>
    <t>NIVELES DE RIESGO</t>
  </si>
  <si>
    <t xml:space="preserve"> </t>
  </si>
  <si>
    <t>VALORACIÓN DEL CONTROL</t>
  </si>
  <si>
    <t>Atributos del control</t>
  </si>
  <si>
    <t xml:space="preserve">Peso del Control + Peso de la implementación </t>
  </si>
  <si>
    <t>Cálculo de Probabilidad</t>
  </si>
  <si>
    <t>De acuerdo al cálculo de controles preventivos y detectivos digite el valor residual final en Probabilidad</t>
  </si>
  <si>
    <t>NIVEL</t>
  </si>
  <si>
    <t>% MIN</t>
  </si>
  <si>
    <t>% MAX</t>
  </si>
  <si>
    <t>% Probabilidad Riesgo Inherente</t>
  </si>
  <si>
    <t>% Impacto Riesgo Inherente</t>
  </si>
  <si>
    <t>No. Control</t>
  </si>
  <si>
    <t>Atributos Eficiencia</t>
  </si>
  <si>
    <t xml:space="preserve">Atibutos Formalización del control </t>
  </si>
  <si>
    <t>Responsable
(Cargo y/o Aplicativo)</t>
  </si>
  <si>
    <t>Acción
(Inicia con un verbo)</t>
  </si>
  <si>
    <t>Complemento (Periodicidad - Observaciones o Desviaciones)</t>
  </si>
  <si>
    <t>Descripción del control</t>
  </si>
  <si>
    <t>Tipo de control para probabilidad</t>
  </si>
  <si>
    <t>Evidencia
(Trazabilidad de la ejecución)</t>
  </si>
  <si>
    <t>Ejecución</t>
  </si>
  <si>
    <t>Valor Total del Control probabilidad</t>
  </si>
  <si>
    <t>Probabilidad residual 1</t>
  </si>
  <si>
    <t>Probabilidad residual a partir del segundo control</t>
  </si>
  <si>
    <t>Probabilidad residual Final</t>
  </si>
  <si>
    <t>El asesor(a) con funciones de  coordinación del grupo interno de trabajo de planeación.</t>
  </si>
  <si>
    <t xml:space="preserve">Emitir y/o socializar lineamientos para el seguimiento oportuno de la planeación institucional de la Agencia. </t>
  </si>
  <si>
    <t>Realiza mesas de trabajo, informa a  los comites, comunica a los responsable, teniendo en cuenta directrices de gobierno, sector, alta dirección de la Agencia, solicitudes de los procesos de la Agencia, situaciones, alertas.</t>
  </si>
  <si>
    <t>Efectuar seguimiento oportuno y articulado a la planeacion institucional, con base en los lineamientos establecidos para el esquema de las líneas de defensa de la Agencia.</t>
  </si>
  <si>
    <t>Solicita información o documentos para el seguimiento periódico o realiza mesas de trabajo con el esquema de las líneas de defensa para acompañar o asesorar y plantear los correctivos a que haya lugar frente a la ejecución de la planeación institucional.</t>
  </si>
  <si>
    <t>Coordinador del Grupo Interno de trabajo de Talento Humano</t>
  </si>
  <si>
    <t>Revisar a  los conceptos liquidados en la nómina o de liquidaciones finales y de los actos administrativos.</t>
  </si>
  <si>
    <t>Si se identifican diferencias en los conceptos liquidados en la nómina o de liquidaciones finales, devolverá al profesional de nómina para su verificación y ajuste correspondiente.  para el caso de los actos administrativos se ajusta con otro acto administrativo.</t>
  </si>
  <si>
    <t>Hará validaciones a los conceptos liquidados en la nómina o de liquidaciones finales y de los actos administrativos.</t>
  </si>
  <si>
    <t>Cuando se identifican errores en el cálculo  en los conceptos liquidados en la nómina o de liquidaciones finales,  se informa a través de correo electrónico la novedad presentada al proceso de Gestión de Tecnologías de la Información (TI), quien documentará el caso al proveedor. Una vez solucionado el caso, el proceso de TI comunica a Talento Humano para revisión y verificación. Este hará los respectivos análisis, para continuar con la gestión.
Para el caso de los actos administrativos se ajusta con otro acto administrativo</t>
  </si>
  <si>
    <t>El(la) coordinador(a) del grupo interno de trabajo de gestión contractual y el equipo de trabajo.</t>
  </si>
  <si>
    <t>Gestionar la capacitación a los estructuradores de procesos contractuales en matriz de riesgos y garantías</t>
  </si>
  <si>
    <t>Cuando aplique se realiza ajustes necesarios frente a los temas a capacitar y/o reprograma la capacitación.</t>
  </si>
  <si>
    <t>Revisar juridicamente los estudios previos y la documentación acorde a cada modalidad contractual.</t>
  </si>
  <si>
    <t xml:space="preserve">Devuelve al solicitante para ajustes y/o correcciones de los estudios previos y la documentación acorde. </t>
  </si>
  <si>
    <t>Imprimir las garantías y las adjuntan al expediente físico contractual con el pantallazo de aprobación en SECOP II.</t>
  </si>
  <si>
    <t xml:space="preserve">Devuelve al solicitante para ajustes y/o correcciones de las grarantías.  </t>
  </si>
  <si>
    <t>Verificar la expedición del registro presupuestal.</t>
  </si>
  <si>
    <t>Devuelve al solicitante para ajustes y/o correcciones de los regsistros presupuestales.</t>
  </si>
  <si>
    <t>Convocar a comités de Contratación,
Velar para que las actuaciones de quienes intervengan en el desarrollo de la actividad contractual de la Entidad, se realicen conforme a los principios de transparencia, economía, responsabilidad y a los postulados de la función administrativa, tal como lo ordenan las normas vigentes.</t>
  </si>
  <si>
    <t>Velar porque los actos administrativos que se expidan a través del proceso Gestión contractual de la Agencia, se ajusten a la normatividad legal vigente.</t>
  </si>
  <si>
    <t>identificarse alguna novedad en el acto administrativo, informar al superior jerárquico y corregir o derogar el acto administrativo en cuestión.</t>
  </si>
  <si>
    <t>El(la) asesor(a) con funciones de control interno y el equipo auditor.</t>
  </si>
  <si>
    <t>Verificar que en la planeación de la auditoría e informes de ley, el objetivo, alcance y criterios contribuyan a la mejora del desempeño institucional.</t>
  </si>
  <si>
    <t xml:space="preserve">Se analiza la causa del incumplimiento y se reprograma, en el caso de auditorías, se solicita modificación del plan anual de auditoría ante el Comité institucional de coordinación de control interno. Se solicita al responsable de la auditoría o informe de ley mediante comunicación los ajustes que sean requweridos por el asesor con funciones de control interno. </t>
  </si>
  <si>
    <t>Responsable: El(la) asesor(a) de gestión de comunicaciones.</t>
  </si>
  <si>
    <t>Liderar el Comité Editorial en el que los integrantes del equipo son enlace para cada Dirección de la Agencia. Asimismo, se cuenta con el formato E-FO 053 que debe ser diligenciado por todos los procesos en el momento se solicitar el apoyo a Comunicaciones.</t>
  </si>
  <si>
    <t>Cuando aplique se realiza ajustes necesarios en la respectiva difusión.</t>
  </si>
  <si>
    <t xml:space="preserve">El(la) asesor(a) con funciones de gestión jurídica.  </t>
  </si>
  <si>
    <t xml:space="preserve">Hacer seguimiento a la aplicación de la estrategía de defensa a cargo del abogado apoderado. </t>
  </si>
  <si>
    <t>Se analiza la causa de la no aplicación de la estategia de defensa y se informa al comité de conciliación para que este emita recomendaciones.</t>
  </si>
  <si>
    <t>El cuentadante de la caja menor.</t>
  </si>
  <si>
    <t>Aplicar los lineamientos establecidos por la Agencia para la administración de la caja menor.</t>
  </si>
  <si>
    <t>Reportar al respectivo superior jerárquico de la Agencia, el estado de la administración  de la caja menor.</t>
  </si>
  <si>
    <t xml:space="preserve"> El director(a) técnico(a).</t>
  </si>
  <si>
    <t>Realizar seguimiento a la ejecución de los recursos derl FOCAI que se les entregan a otros países o entidades.</t>
  </si>
  <si>
    <t xml:space="preserve">Cuando aplique se reitera la solicitud del informe donde el beneficiario da cuenta del uso de los recursos recibidos </t>
  </si>
  <si>
    <t>Realizar seguimiento al informe de ejecución de los recursos entregados.</t>
  </si>
  <si>
    <t xml:space="preserve">Cuando aplique se realiza ajustes a los proyectos o reprogramación de iniciativas de CSS. </t>
  </si>
  <si>
    <t>El director(a) administrativo(a) y financiero(a).</t>
  </si>
  <si>
    <t>Realizar seguimiento a la ejecucion de proyectos e iniciativas.</t>
  </si>
  <si>
    <t>Cuando aplique se realiza ajustes a los proyectos o reprogramación de iniciativas</t>
  </si>
  <si>
    <t xml:space="preserve"> El(la) profesional responsable de inventarios.</t>
  </si>
  <si>
    <t>Realizar la verificación de las entradas y salidas registradas durante el periodo (mes).</t>
  </si>
  <si>
    <t xml:space="preserve">Realizar la verificación de los elementos almacenados en los depositos, manteniendo la restrinción en el acceso solo para el personal autorizado y/o responsable, prevaleciendo que  las puertas de estos lugares se encuentre bajo llave permanente y monitoreado. </t>
  </si>
  <si>
    <t>Al presentarse una novedad de ingreso de personal o elementos no autorizados u otra situación frente al tema, el responsable de almacén Informa inmediatamente al superior jerárquico de la situación presentada para seguir instrucciones.</t>
  </si>
  <si>
    <t xml:space="preserve"> El(la) funcionario(a) responsable.</t>
  </si>
  <si>
    <t>Utilizar el formato donde se solicita al visitante datos relativos a elementos, dispositivos, equipos que ingresan a la Agencia.</t>
  </si>
  <si>
    <t>Al presentarse que un visitante no suministre datos, informa inmediatamente al superior jerárquico de la situación presentada para la toma de decisiones y seguir las indicaciones de forma inmediata.</t>
  </si>
  <si>
    <t>El(la) profesional encargado(a) de gestionar las PQRSD.
Responsable técnico programación alarma: El(la) funcionario tecnico responsable de GIT de la Tecnologias de la información.</t>
  </si>
  <si>
    <t>Alarma programada en el Sistema de gestión documental de la  entidad, para el envio a los colaboradores con el fin de recordar el plazo y tiempos de respuesta para tramitar la PQRSD. Esta se envia en dos oportunidades a los colaboradores resposable del tramite de la PQRSD durante la jornada laboral.</t>
  </si>
  <si>
    <t>En caso de presentarse alguna novedad con la notificación de la alarma, el proceso de Servicios al Ciudadano comunica al área de Gestión de Tecnologías de la Información, por medio de los diferentes canales de comunicación habilitados para el reporte de dichas inconsistencias, para su revisión y solución. Además, desde la cuenta de PQRSD se envía un recordatorio por correo electrónico al servidor público encargado, detallando el plazo y los tiempos de respuesta de la solicitud.</t>
  </si>
  <si>
    <t xml:space="preserve"> El(la) profesional especializado(a) con funciones de tesorería.</t>
  </si>
  <si>
    <t>Gestionar las solicitudes de PAC de las direcciones / dependencias ejecutoras ante el Ministerio de Hacienda.</t>
  </si>
  <si>
    <t>En caso de no ser aprobadas las solicitudes de PAC en su totalidad o se requiera de una solicitud adicional de PAC, gestiona en SIIF Nación una nueva solicitud como  PAC extraordinario. De no ser aprobado el PAC extraordinario, se da prioridad al pago de los compromisos próximos a vencerse.</t>
  </si>
  <si>
    <t>Realizar seguimiento a las solicitudes y ejecución de PAC.</t>
  </si>
  <si>
    <t>De no obtenerse el radicado de cuentas por pagar pendientes para las cuales las áreas solicitaron PAC, se dará trámite a aquellas que ya se encuentren radicadas en DAF, aún sin haber tenido solicitud de PAC previa.</t>
  </si>
  <si>
    <t xml:space="preserve"> El(la) profesional especializado(a) con funciones de contador.</t>
  </si>
  <si>
    <t>Verificar el soporte de cada hecho económico registrado en SIIF Nación.</t>
  </si>
  <si>
    <t>El(la) profesional universitario responsable del SG-SST.</t>
  </si>
  <si>
    <t>Actualizar y verifica el cumplimiento de los requisitos legales vigentes mensualmente en la Matriz legal de SST.</t>
  </si>
  <si>
    <t>Notifica el posible incumplimiento de un requisito legal en SST</t>
  </si>
  <si>
    <t xml:space="preserve">El(la) coordinador(a) del grupo interno de trabajo de Gestión de talento humano. </t>
  </si>
  <si>
    <t>Velar porque los actos administrativos que se expidan a través del proceso Gestión de talento humano de la Agencia, se ajusten a la normatividad legal vigente.</t>
  </si>
  <si>
    <t xml:space="preserve">De identificarse alguna novedad en el acto administrativo, informar al superior jerárquico y corregir o derogar el acto administrativo en cuestión . </t>
  </si>
  <si>
    <t>Verificar previamente cada uno de los ítems de la donación teniendo en cuenta sus cualidades y especificaciones técnicas a través de la documentación requerida para el trámite de canalización de Donaciones en Especie. (Ofrecimiento de la Donación, Certificado de la Donación y Carta de Exoneración de Responsabilidades).</t>
  </si>
  <si>
    <t>Se analizan  las novedades presentadas en el ejercicio de la revisión para tomar las medidas respectivas, escalando a la instancia correspondiente y evitar la indebida recepción de la donación.</t>
  </si>
  <si>
    <t>Atributos del Control</t>
  </si>
  <si>
    <t>Cálculo de Impacto</t>
  </si>
  <si>
    <t>De acuerdo al cálculo de controles correctivos digite el valor residual final</t>
  </si>
  <si>
    <t xml:space="preserve">Atributos Formalización del control </t>
  </si>
  <si>
    <t>Tipo de control para Impacto</t>
  </si>
  <si>
    <t>Valor Total del control Impacto</t>
  </si>
  <si>
    <t>Impacto residual 1</t>
  </si>
  <si>
    <t>Impacto residual a partir del segundo control</t>
  </si>
  <si>
    <t>Impacto Residual Final</t>
  </si>
  <si>
    <t>MAPA DE CALOR RIESGO RESIDUAL</t>
  </si>
  <si>
    <t>CALIFICACIÓN RIESGO RESIDUAL</t>
  </si>
  <si>
    <t>Probabilidad Inherente</t>
  </si>
  <si>
    <t>Probabilidad Residual</t>
  </si>
  <si>
    <t>Severidad 
(Nivel de Riesgo)</t>
  </si>
  <si>
    <t>RIESGO INHERENTE Y RESIDUAL DEL PROCESO</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</si>
  <si>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</si>
  <si>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</si>
  <si>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</si>
  <si>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</si>
  <si>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</si>
  <si>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</si>
  <si>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</si>
  <si>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</si>
  <si>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</si>
  <si>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</si>
  <si>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</si>
  <si>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En caso de encontrar inconsistencias en la solicitud de pago, éste será devuelto para verificación y corrección por parte del proveedor y superviso</t>
  </si>
  <si>
    <t>El(la) contador(a) del grupo interno de trabajo de gestión financiera o quién haga sus veces.</t>
  </si>
  <si>
    <t>Realizar seguimiento y verificación en SECOP II y aplicar formato de seguimiento a los proveedores con más de un contrato u orden de compra suscrito con APC-Colombia.</t>
  </si>
  <si>
    <t>Cualquier solicitud a la entidad bancaria que implique cambios en la plataforma de pagos o que no se encuentre dentro del protocolo establecido, debe ser firmada por el representante legal de la Agencia.</t>
  </si>
  <si>
    <t>El(la) coordinador(a) del grupo interno de trabajo de gestión financiera.</t>
  </si>
  <si>
    <t>Validar el cumplimiento de los lineamientos establecidos en el Protocolo de seguridad y manejo de tesorería autorizadas por el Ministerio de Hacienda.</t>
  </si>
  <si>
    <t>En caso de no realizarse la conciliación bancaria en los tiempos establecidos, el profesional especializado con funciones de contador de la Agencia identifica las razones de la no conciliación, por parte del reponsable de la función y procede a su realización.</t>
  </si>
  <si>
    <t>El(la) profesional con funciones de central de cuentas del proceso de gestión financiera.</t>
  </si>
  <si>
    <t>Realizar conciliaciones bancarias acorde con lo establecido en el Procedimiento de elaboración de estados financieros.</t>
  </si>
  <si>
    <t xml:space="preserve"> Se analizan  las novedades presentadas en el ejercicio de la supervisón para tomar las medidas respectivas, escalando a la instancia correspondiente y evitar la indebida supervisión de los contratos o convenios suscritos</t>
  </si>
  <si>
    <t xml:space="preserve"> El(la) profesional asignado(a) a desarrollar las actividades necesarias para la canalización de donaciones en especie. </t>
  </si>
  <si>
    <t>Verificar los documentos entregados por el donante (carta de ofrecimiento de la donación, certificado de la donación y carta de exoneración de responsabilidades) antes y durante el proceso, donde se indentifica la entidad  beneficiaria de la donación y realizar la validación de los antecedentes y reconocimiento de bienes lícitos e ilícitos.</t>
  </si>
  <si>
    <t>En caso que el aspirante no cumpla con los requisitos o lo inhabiliten, se informa al Director(a) administrativo(a) y financiero(a) para continuar con el proceso de provisión del cargo con otros aspirantes.</t>
  </si>
  <si>
    <t xml:space="preserve">El(la) coordinador(a) del grupo interno de trabajo de gestión de talento humano. </t>
  </si>
  <si>
    <t>Expedir certificación de cumplimiento de requisitos y verificar los antecedentes disciplinarios, policiales y fiscales, antes del nombramiento del aspirante en el cargo público.</t>
  </si>
  <si>
    <t>El(la) supervisor(a) designado(a) para el convenio informa al ordenar del gasto ante la presencia de un posible incumplimiento contractual y anexa los documentos soportes de las alertas y solicitudes de corrección al ejecutor</t>
  </si>
  <si>
    <t xml:space="preserve"> El(la) profesional delegado(a) en la supervisión de los proyectos cofinanciados con recursos de contrapartida.  </t>
  </si>
  <si>
    <t xml:space="preserve">Verificar el cumplimiento adecuado de la ejecución del plan de inversión y generar las alertas en caso de evidenciar algún incumplimiento para prevenir la indebida destinación del recurso público. </t>
  </si>
  <si>
    <t xml:space="preserve"> En caso de que se consideren los criterios insuficientes, se invitará a la mesa tecnica, miembros de otras direcciones misionales de la entidad para ajustar los criterios y su medida de calificación.</t>
  </si>
  <si>
    <t xml:space="preserve">Profesionales y contratistas que hacen parte del grupo interno de trabajo de apoyos financieros para la  cooperación internacional . </t>
  </si>
  <si>
    <t>Generar criterios de evaluación tecnica, financiera y legal de la iniciativas propuestas garantizando imparcialidad, e igualdad de condiciones en cualquiera de las metodologias de identificación y selección  de iniciativas contempladas en el manual de contrapartidas nacional.</t>
  </si>
  <si>
    <t xml:space="preserve">Cuando aplique se realiza ajustes necesarios frente a los temas a capacitar y/o reprograma la capacitación. </t>
  </si>
  <si>
    <t xml:space="preserve">El(la) coordinador(a) del grupo interno de trabajo de Gestión contractual. </t>
  </si>
  <si>
    <t>Gestionar la capacitación a los supervisores en normatividad y regulación interna, en cuanto a las funciones del supervisor de contratos o convenios.</t>
  </si>
  <si>
    <t xml:space="preserve">nforma al jefe inmediato del supervisor del contrato o convenio para la toma de acciones correctivas frente a la situación presentada. </t>
  </si>
  <si>
    <t xml:space="preserve">El(la) coordinador(a) del grupo interno de trabajo de gestión contractual. </t>
  </si>
  <si>
    <t>Realizar la verificación del cargue de los informes de seguimiento de contratos y convenios en SECOP II para pagos en SIIF Nación.</t>
  </si>
  <si>
    <t>Se analizan  las novedades presentadas en el ejercicio de la supervisón para tomar las medidas respectivas, escalando a la instancia correspondiente y evitar la la indebida supervisión de los contratos o convenios suscritos.</t>
  </si>
  <si>
    <t xml:space="preserve">El(la) ordenador(a) del gasto, el(la) director(a) general, los directores técnicos, y el(la)
coordinador(a) del grupo interno de trabajo de Gestión contractual. </t>
  </si>
  <si>
    <t xml:space="preserve">Realizar seguimiento a la supervisión de contratos y convenios suscritos. </t>
  </si>
  <si>
    <t>En caso de no poderse avanzar con campañas informativas, se programarán capacitaciones y/o charlas específicas a grupos de valor que puedan verse afectados por el riesgo identificado. Adicionalmente, se publicará información de manera permanente en la página Web de la Agencia.</t>
  </si>
  <si>
    <t xml:space="preserve">Los profesionales del grupo de certificados de utilidad común de la Dirección de gestión de demanda de cooperación internacional. </t>
  </si>
  <si>
    <t>Mantener campañas informativas sobre el proceso y los mecanismos de validación de CUC</t>
  </si>
  <si>
    <t>En caso de presentarse, debido a que la información reportada no cumpla con los criterios de calidad establecidos, se genera correo electrónico a la fuente de información pidiendo la validación y corrección de la información.</t>
  </si>
  <si>
    <t>El profesional del grupo de convocatorias de la Dirección de gestión de demanda de cooperación internacional.</t>
  </si>
  <si>
    <t>Consolidar trimestralmente una copia de la plantilla estandarizada para la recolección y registro de la información sobre convocatorias internacionales en las que Colombia puede participar y que es actualizada permanentemente por los profesionales de la Dirección.</t>
  </si>
  <si>
    <t>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t>
  </si>
  <si>
    <t>El profesional responsable del registro de convocatorias internacionales.</t>
  </si>
  <si>
    <t>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t>
  </si>
  <si>
    <t>En caso de presentarse, debido a que las propuestas de mejora no sean atendidas por el proceso Gestión de tecnologías de la información, la solicitud será elevada al(la) Director(a) administrativo(a) y financiero(a)</t>
  </si>
  <si>
    <t>Los profesionales de la Dirección de gestión de demanda de cooperación internacional.</t>
  </si>
  <si>
    <t>Participar en el proceso de mejora continua de las herramientas de registro y divulgación de información sobre la cooperación internacional que recibe el país.</t>
  </si>
  <si>
    <t>En caso de presentarse, debido a que alguna persona del equipo no haya dado respuesta y se aproxima la fecha de vencimiento, los profesionales del grupo de CUC informarán por correo electrónico al responsable y apoyarán (en caso de ser necesario), los avances en el trámite.</t>
  </si>
  <si>
    <t>Hacer seguimiento periódico a la matriz de seguimiento a solicitudes de CUC y consolidar bimestralmente una copia de dicha matriz con el propósito de garantizar el cumplimiento de los tiempos establecidos por el Decreto 1651 de 2021, para la expedición de Constancias de registro de proyectos y CUC.</t>
  </si>
  <si>
    <t>En caso de presentarse, debido a que la información reportada no cumpla con los criterios de calidad establecidos, se genera correo electrónico a la fuente de información pidiendo la validación y corrección de la información</t>
  </si>
  <si>
    <t xml:space="preserve"> El profesional del grupo de convocatorias de la Dirección de gestión de demanda de cooperación internacional. </t>
  </si>
  <si>
    <t xml:space="preserve">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t>
  </si>
  <si>
    <t xml:space="preserve"> El equipo técnico de la Dirección de gestión de demanda de cooperación internacional.</t>
  </si>
  <si>
    <t>Consolidar y enviar para publicación, el documento con Analisis de la Ayuda Oficial al Desarrollo (AOD), recibida durante la vigencia anterior.</t>
  </si>
  <si>
    <t xml:space="preserve"> Si existen, como que el documento no pueda ser publicado, se emplearán medios alternativos para su socialización, como el envío a través de correo electrónico a los usuarios interesados y se dejará como evidencia el documento final.</t>
  </si>
  <si>
    <t xml:space="preserve"> Los profesionales de la Dirección de gestión de demanda de cooperación internacional.</t>
  </si>
  <si>
    <t>Elaborar y hacer seguimiento trimestral a treinta planes de trabajo para la vigencia, con las fuentes oficiales y no oficiales de cooperación internacional con las que trabajan.</t>
  </si>
  <si>
    <t>De cada actividad, en caso de observación o desviación porque un plan de trabajo no se esta cumpliendo, se deberán revisar las actividades propuestas y analizar las causas de retraso para poder implementar las acciones correctivas del caso. Este ejercicio se hará conjuntamente con los(las) coordinadores(ras) y el(la) director(a) de la dirección.</t>
  </si>
  <si>
    <t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t>
  </si>
  <si>
    <t>Control del acta de entrega de la donación al beneficiario final, teniendo en cuenta la voluntad del donante con respecto al beneficiario final.</t>
  </si>
  <si>
    <t>si hace falta algún soporte para el registro de las transacciones, es solicitado al responsable respectivo ya sea interno o externo, a través de correo electrónic</t>
  </si>
  <si>
    <t>El(la) funcionario(a) responsable.</t>
  </si>
  <si>
    <t xml:space="preserve"> El(la) profesional responsable de almacén.</t>
  </si>
  <si>
    <t>Al identificar algúna novedad esta se informa y se registra en el periodo siguiente.</t>
  </si>
  <si>
    <t>R13</t>
  </si>
  <si>
    <r>
      <t>¿CÓMO?
CAUSA INMEDIATA 
(</t>
    </r>
    <r>
      <rPr>
        <sz val="12"/>
        <rFont val="Arial"/>
        <family val="2"/>
      </rPr>
      <t xml:space="preserve">Iniciar con la palabra 
</t>
    </r>
    <r>
      <rPr>
        <b/>
        <sz val="12"/>
        <rFont val="Arial"/>
        <family val="2"/>
      </rPr>
      <t>por)</t>
    </r>
  </si>
  <si>
    <r>
      <t>¿PORQUÉ?
CAUSA RAÍZ
(</t>
    </r>
    <r>
      <rPr>
        <sz val="12"/>
        <rFont val="Arial"/>
        <family val="2"/>
      </rPr>
      <t xml:space="preserve">Iniciar con 
</t>
    </r>
    <r>
      <rPr>
        <b/>
        <sz val="12"/>
        <rFont val="Arial"/>
        <family val="2"/>
      </rPr>
      <t>debido a/a causa de)</t>
    </r>
  </si>
  <si>
    <r>
      <rPr>
        <b/>
        <sz val="12"/>
        <color theme="1"/>
        <rFont val="Arial"/>
        <family val="2"/>
      </rPr>
      <t>Explicaciones Para realizar la ponderación de Riesgos.</t>
    </r>
    <r>
      <rPr>
        <sz val="12"/>
        <color theme="1"/>
        <rFont val="Arial"/>
        <family val="2"/>
      </rPr>
      <t xml:space="preserve">
1. Si en la sumatoria de los riesgos los Extremos representan mas o igual al 20% de los Riesgos, la calificación del Proceso será EXTREMO.</t>
    </r>
  </si>
  <si>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2"/>
        <color theme="1"/>
        <rFont val="Arial"/>
        <family val="2"/>
      </rPr>
      <t xml:space="preserve">Nota: </t>
    </r>
    <r>
      <rPr>
        <sz val="12"/>
        <color theme="1"/>
        <rFont val="Arial"/>
        <family val="2"/>
      </rPr>
      <t>Adapatado de Instituto de Auditores Internos</t>
    </r>
    <r>
      <rPr>
        <b/>
        <sz val="12"/>
        <color theme="1"/>
        <rFont val="Arial"/>
        <family val="2"/>
      </rPr>
      <t xml:space="preserve"> COSO ERM </t>
    </r>
    <r>
      <rPr>
        <sz val="12"/>
        <color theme="1"/>
        <rFont val="Arial"/>
        <family val="2"/>
      </rPr>
      <t>Agosto 2014</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</si>
  <si>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2"/>
        <color theme="9" tint="-0.249977111117893"/>
        <rFont val="Arial"/>
        <family val="2"/>
      </rPr>
      <t>Guía para la Gestión Integral del Riesgo en Entidades Públicas versión 7</t>
    </r>
    <r>
      <rPr>
        <sz val="12"/>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</si>
  <si>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2"/>
        <rFont val="Arial"/>
        <family val="2"/>
      </rPr>
      <t>análisis del contexto (interno y externo),</t>
    </r>
    <r>
      <rPr>
        <sz val="12"/>
        <rFont val="Arial"/>
        <family val="2"/>
      </rPr>
      <t xml:space="preserve"> </t>
    </r>
    <r>
      <rPr>
        <b/>
        <sz val="12"/>
        <rFont val="Arial"/>
        <family val="2"/>
      </rPr>
      <t>luego específicamente considerar el proceso, su objetivo, alcance, actividades clave</t>
    </r>
    <r>
      <rPr>
        <sz val="12"/>
        <rFont val="Arial"/>
        <family val="2"/>
      </rPr>
      <t xml:space="preserve">, </t>
    </r>
    <r>
      <rPr>
        <b/>
        <sz val="12"/>
        <rFont val="Arial"/>
        <family val="2"/>
      </rPr>
      <t>procedimientos, sistema de información y otras herramientas que componen el Sistema de Gestión y Control de la entidad</t>
    </r>
    <r>
      <rPr>
        <sz val="12"/>
        <rFont val="Arial"/>
        <family val="2"/>
      </rPr>
      <t>, como elementos esenciales para la</t>
    </r>
    <r>
      <rPr>
        <b/>
        <sz val="12"/>
        <color theme="9" tint="-0.249977111117893"/>
        <rFont val="Arial"/>
        <family val="2"/>
      </rPr>
      <t xml:space="preserve"> identificación y descirpción del riesgo.</t>
    </r>
    <r>
      <rPr>
        <sz val="12"/>
        <rFont val="Arial"/>
        <family val="2"/>
      </rPr>
      <t xml:space="preserve">
En la etapa de </t>
    </r>
    <r>
      <rPr>
        <b/>
        <sz val="12"/>
        <color theme="9" tint="-0.249977111117893"/>
        <rFont val="Arial"/>
        <family val="2"/>
      </rPr>
      <t>análisis de riesgo inherente,</t>
    </r>
    <r>
      <rPr>
        <sz val="12"/>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2"/>
        <color theme="9" tint="-0.249977111117893"/>
        <rFont val="Arial"/>
        <family val="2"/>
      </rPr>
      <t>FÓRMULAS.</t>
    </r>
    <r>
      <rPr>
        <sz val="12"/>
        <rFont val="Arial"/>
        <family val="2"/>
      </rPr>
      <t xml:space="preserve">
En la etapa de </t>
    </r>
    <r>
      <rPr>
        <b/>
        <sz val="12"/>
        <color theme="9" tint="-0.249977111117893"/>
        <rFont val="Arial"/>
        <family val="2"/>
      </rPr>
      <t>diseño y análisis de controles</t>
    </r>
    <r>
      <rPr>
        <sz val="12"/>
        <rFont val="Arial"/>
        <family val="2"/>
      </rPr>
      <t xml:space="preserve">, se establecen los controles (preventivos, detectivos, correctivos), aplicando la estructura para su redacción y la incorporación de los atributos de eficiencia e informativos.
Finalmente en la etapa de </t>
    </r>
    <r>
      <rPr>
        <b/>
        <sz val="12"/>
        <color theme="9" tint="-0.249977111117893"/>
        <rFont val="Arial"/>
        <family val="2"/>
      </rPr>
      <t>valoracion del riesgo residual</t>
    </r>
    <r>
      <rPr>
        <sz val="12"/>
        <rFont val="Arial"/>
        <family val="2"/>
      </rPr>
      <t xml:space="preserve">, se define la efectividad en la aplicación de los controles. </t>
    </r>
  </si>
  <si>
    <r>
      <t>1 INSTRUCTIVO:</t>
    </r>
    <r>
      <rPr>
        <sz val="12"/>
        <rFont val="Arial"/>
        <family val="2"/>
      </rPr>
      <t xml:space="preserve"> Identifica el contenido del archivo y su forma de diligenciamiento y funcionalidades.</t>
    </r>
  </si>
  <si>
    <r>
      <t>2 CONTEXTO E IDENTIFICACIÓN:</t>
    </r>
    <r>
      <rPr>
        <sz val="12"/>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</si>
  <si>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12"/>
        <rFont val="Arial"/>
        <family val="2"/>
      </rPr>
      <t>por</t>
    </r>
    <r>
      <rPr>
        <sz val="12"/>
        <rFont val="Arial"/>
        <family val="2"/>
      </rPr>
      <t>)</t>
    </r>
  </si>
  <si>
    <r>
      <t>Causa  principal  o básica, corresponde a las razones por la cuales se puede presentar  el riesgo, redacte de la forma más concreta posible.
(Iniciar con</t>
    </r>
    <r>
      <rPr>
        <b/>
        <sz val="12"/>
        <rFont val="Arial"/>
        <family val="2"/>
      </rPr>
      <t xml:space="preserve"> debido a </t>
    </r>
    <r>
      <rPr>
        <sz val="12"/>
        <rFont val="Arial"/>
        <family val="2"/>
      </rPr>
      <t>o</t>
    </r>
    <r>
      <rPr>
        <b/>
        <sz val="12"/>
        <rFont val="Arial"/>
        <family val="2"/>
      </rPr>
      <t xml:space="preserve"> a causa de</t>
    </r>
    <r>
      <rPr>
        <sz val="12"/>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</si>
  <si>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12"/>
        <color theme="9" tint="-0.249977111117893"/>
        <rFont val="Arial"/>
        <family val="2"/>
      </rPr>
      <t>POSIBILIDAD DE + Impacto para la entidad (Qué) + Causa Inmediata (Cómo) + Causa Raíz (Por qué)</t>
    </r>
    <r>
      <rPr>
        <sz val="12"/>
        <rFont val="Arial"/>
        <family val="2"/>
      </rPr>
      <t xml:space="preserve"> 
(Se genera automáticamente)</t>
    </r>
  </si>
  <si>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2"/>
        <rFont val="Arial"/>
        <family val="2"/>
      </rPr>
      <t>La matriz calcula automáticamente:</t>
    </r>
    <r>
      <rPr>
        <sz val="12"/>
        <rFont val="Arial"/>
        <family val="2"/>
      </rPr>
      <t xml:space="preserve">
Frecuencia de la Actividad
% Probabilidad
Nivel Probabilidad</t>
    </r>
  </si>
  <si>
    <r>
      <t>4 MAPA CALOR INHERENTE:</t>
    </r>
    <r>
      <rPr>
        <sz val="12"/>
        <rFont val="Arial"/>
        <family val="2"/>
      </rPr>
      <t xml:space="preserve"> Representación gráfica de la ubicación de cada riesgo inherente en el mapa de calor (En esta hoja no se ingresan datos)</t>
    </r>
  </si>
  <si>
    <r>
      <t>5 VALORACIÓN DEL CONTROL:</t>
    </r>
    <r>
      <rPr>
        <sz val="12"/>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</si>
  <si>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r>
      <t xml:space="preserve">Recuerde que el control se define como la medida que permite reducir o mitigar un riesgo. Defina el control (es) que atacan la causa raíz del riesgo, considere la estructura explicada en la guía: </t>
    </r>
    <r>
      <rPr>
        <b/>
        <sz val="12"/>
        <color theme="9" tint="-0.249977111117893"/>
        <rFont val="Arial"/>
        <family val="2"/>
      </rPr>
      <t>Responsable de ejecutar el control + Acción + Complemento</t>
    </r>
  </si>
  <si>
    <r>
      <t xml:space="preserve">Debe seleccionar de listas desplegables
</t>
    </r>
    <r>
      <rPr>
        <b/>
        <sz val="12"/>
        <rFont val="Arial"/>
        <family val="2"/>
      </rPr>
      <t>Documentación</t>
    </r>
    <r>
      <rPr>
        <sz val="12"/>
        <rFont val="Arial"/>
        <family val="2"/>
      </rPr>
      <t xml:space="preserve">: Procedimientos, Sistemas de Información, Otros esquemas, Combinación estructuras documentales y sistemas de información.
</t>
    </r>
    <r>
      <rPr>
        <b/>
        <sz val="12"/>
        <rFont val="Arial"/>
        <family val="2"/>
      </rPr>
      <t>Frecuencia:</t>
    </r>
    <r>
      <rPr>
        <sz val="12"/>
        <rFont val="Arial"/>
        <family val="2"/>
      </rPr>
      <t xml:space="preserve"> Siempre que se ejecuta la actividad, Periódicamente (diario, mensual, bimestral, trimestral, semestral).
</t>
    </r>
    <r>
      <rPr>
        <b/>
        <sz val="12"/>
        <rFont val="Arial"/>
        <family val="2"/>
      </rPr>
      <t xml:space="preserve">Evidencia: </t>
    </r>
    <r>
      <rPr>
        <sz val="12"/>
        <rFont val="Arial"/>
        <family val="2"/>
      </rPr>
      <t xml:space="preserve">Con registro manual, Con registro electrónico, Combinado (manual y electrónico).
</t>
    </r>
    <r>
      <rPr>
        <b/>
        <sz val="12"/>
        <rFont val="Arial"/>
        <family val="2"/>
      </rPr>
      <t>Ejecución</t>
    </r>
    <r>
      <rPr>
        <sz val="12"/>
        <rFont val="Arial"/>
        <family val="2"/>
      </rPr>
      <t>: Interna, Externa, Mixta.</t>
    </r>
  </si>
  <si>
    <r>
      <t>6 MAPA CALOR RESIDUAL:</t>
    </r>
    <r>
      <rPr>
        <sz val="12"/>
        <rFont val="Arial"/>
        <family val="2"/>
      </rPr>
      <t xml:space="preserve"> Representación gráfica de la ubicación de cada riesgo residual en el mapa de calor (En esta hoja no se ingresan datos)</t>
    </r>
  </si>
  <si>
    <r>
      <t>7 MAPA CALOR INHEREN Y RESIDUAL:</t>
    </r>
    <r>
      <rPr>
        <sz val="12"/>
        <rFont val="Arial"/>
        <family val="2"/>
      </rPr>
      <t xml:space="preserve"> Comparación gráfica de la ubicación de cada riesgo inherente y residual en el mapa de calor (En esta hoja no se ingresan dados)</t>
    </r>
  </si>
  <si>
    <r>
      <t>8 PERFIL DE RIESGO:</t>
    </r>
    <r>
      <rPr>
        <sz val="12"/>
        <rFont val="Arial"/>
        <family val="2"/>
      </rPr>
      <t xml:space="preserve"> Resumen calcula el nivel de riesgo del proceso (En esta hoja no se ingresan datos)</t>
    </r>
  </si>
  <si>
    <r>
      <t>9 CONTROL DE CAMBIOS:</t>
    </r>
    <r>
      <rPr>
        <sz val="12"/>
        <rFont val="Arial"/>
        <family val="2"/>
      </rPr>
      <t xml:space="preserve"> En ella se debe registrar los cambios al formato y al contenido del mismo</t>
    </r>
  </si>
  <si>
    <r>
      <t>10 FORMULAS:</t>
    </r>
    <r>
      <rPr>
        <sz val="12"/>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2"/>
        <color theme="9" tint="-0.249977111117893"/>
        <rFont val="Arial"/>
        <family val="2"/>
      </rPr>
      <t>NOTA:</t>
    </r>
    <r>
      <rPr>
        <sz val="12"/>
        <rFont val="Arial"/>
        <family val="2"/>
      </rPr>
      <t xml:space="preserve"> La hoja se encuentra oculta para evitar que se borren los datos, será posible hacerla visible con la opción mostrar (clic derecho sobre alguna de las pestañas).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</si>
</sst>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Calibri"/>
      <family val="2"/>
      <scheme val="minor"/>
    </font>
    <font>
      <sz val="11"/>
      <color indexed="8"/>
      <name val="Calibri"/>
      <family val="2"/>
    </font>
    <font>
      <sz val="10"/>
      <name val="Arial"/>
      <family val="2"/>
    </font>
    <font>
      <sz val="11"/>
      <name val="Arial"/>
      <family val="2"/>
    </font>
    <font>
      <b/>
      <sz val="12"/>
      <name val="Tahoma"/>
      <family val="2"/>
    </font>
    <font>
      <sz val="12"/>
      <name val="Tahoma"/>
      <family val="2"/>
    </font>
    <font>
      <b/>
      <sz val="10"/>
      <name val="Arial"/>
      <family val="2"/>
    </font>
    <font>
      <sz val="8"/>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2"/>
      <name val="Times New Roman"/>
      <family val="1"/>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9"/>
      <color indexed="81"/>
      <name val="Tahoma"/>
      <family val="2"/>
    </font>
    <font>
      <b/>
      <sz val="9"/>
      <color indexed="81"/>
      <name val="Tahoma"/>
      <family val="2"/>
    </font>
    <font>
      <sz val="10"/>
      <color rgb="FF000000"/>
      <name val="Tahoma"/>
      <family val="2"/>
    </font>
    <font>
      <b/>
      <sz val="10"/>
      <color rgb="FF000000"/>
      <name val="Tahoma"/>
      <family val="2"/>
    </font>
    <font>
      <sz val="10"/>
      <color rgb="FF000000"/>
      <name val="Calibri"/>
      <family val="2"/>
      <scheme val="minor"/>
    </font>
    <font>
      <b/>
      <sz val="12"/>
      <name val="Arial"/>
      <family val="2"/>
    </font>
    <font>
      <sz val="12"/>
      <name val="Arial"/>
      <family val="2"/>
    </font>
    <font>
      <b/>
      <sz val="12"/>
      <color theme="0"/>
      <name val="Arial"/>
      <family val="2"/>
    </font>
    <font>
      <sz val="12"/>
      <color rgb="FFFF0000"/>
      <name val="Arial"/>
      <family val="2"/>
    </font>
    <font>
      <b/>
      <sz val="12"/>
      <color rgb="FF000000"/>
      <name val="Arial"/>
      <family val="2"/>
    </font>
    <font>
      <sz val="12"/>
      <color indexed="8"/>
      <name val="Arial"/>
      <family val="2"/>
    </font>
    <font>
      <sz val="12"/>
      <color rgb="FF000000"/>
      <name val="Arial"/>
      <family val="2"/>
    </font>
    <font>
      <b/>
      <sz val="12"/>
      <color rgb="FF7030A0"/>
      <name val="Arial"/>
      <family val="2"/>
    </font>
    <font>
      <b/>
      <sz val="12"/>
      <color indexed="8"/>
      <name val="Arial"/>
      <family val="2"/>
    </font>
    <font>
      <sz val="12"/>
      <color rgb="FF7030A0"/>
      <name val="Arial"/>
      <family val="2"/>
    </font>
    <font>
      <b/>
      <sz val="12"/>
      <color rgb="FFFF0000"/>
      <name val="Arial"/>
      <family val="2"/>
    </font>
    <font>
      <b/>
      <sz val="12"/>
      <color theme="9" tint="-0.249977111117893"/>
      <name val="Arial"/>
      <family val="2"/>
    </font>
    <font>
      <b/>
      <u/>
      <sz val="12"/>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13" fillId="0" borderId="0"/>
    <xf numFmtId="9" fontId="16" fillId="0" borderId="0" applyFont="0" applyFill="0" applyBorder="0" applyAlignment="0" applyProtection="0"/>
  </cellStyleXfs>
  <cellXfs count="471">
    <xf numFmtId="0" fontId="0" fillId="0" borderId="0" xfId="0"/>
    <xf numFmtId="0" fontId="3" fillId="0" borderId="1" xfId="0" applyFont="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0" borderId="1" xfId="2" applyFont="1" applyBorder="1" applyAlignment="1">
      <alignment horizontal="center" vertical="center" wrapText="1"/>
    </xf>
    <xf numFmtId="0" fontId="10" fillId="0" borderId="0" xfId="0" applyFont="1" applyAlignment="1">
      <alignment wrapText="1"/>
    </xf>
    <xf numFmtId="0" fontId="12" fillId="0" borderId="1" xfId="0" applyFont="1" applyBorder="1" applyAlignment="1">
      <alignment wrapText="1"/>
    </xf>
    <xf numFmtId="0" fontId="10" fillId="0" borderId="1" xfId="0" applyFont="1" applyBorder="1" applyAlignment="1">
      <alignment wrapText="1"/>
    </xf>
    <xf numFmtId="0" fontId="12" fillId="0" borderId="4" xfId="0" applyFont="1" applyBorder="1" applyAlignment="1">
      <alignment wrapText="1"/>
    </xf>
    <xf numFmtId="9" fontId="10" fillId="0" borderId="1" xfId="0" applyNumberFormat="1" applyFont="1" applyBorder="1" applyAlignment="1">
      <alignment wrapText="1"/>
    </xf>
    <xf numFmtId="0" fontId="10" fillId="0" borderId="4" xfId="0" applyFont="1" applyBorder="1" applyAlignment="1">
      <alignment wrapText="1"/>
    </xf>
    <xf numFmtId="0" fontId="12" fillId="0" borderId="1" xfId="0" applyFont="1" applyBorder="1" applyAlignment="1">
      <alignment horizontal="center" wrapText="1"/>
    </xf>
    <xf numFmtId="0" fontId="10" fillId="0" borderId="8" xfId="0" applyFont="1" applyBorder="1" applyAlignment="1">
      <alignment wrapText="1"/>
    </xf>
    <xf numFmtId="0" fontId="12" fillId="0" borderId="0" xfId="0" applyFont="1" applyAlignment="1">
      <alignment wrapText="1"/>
    </xf>
    <xf numFmtId="0" fontId="10" fillId="0" borderId="11" xfId="0" applyFont="1" applyBorder="1" applyAlignment="1">
      <alignment wrapText="1"/>
    </xf>
    <xf numFmtId="0" fontId="10" fillId="0" borderId="34" xfId="0" applyFont="1" applyBorder="1" applyAlignment="1">
      <alignment wrapText="1"/>
    </xf>
    <xf numFmtId="0" fontId="10" fillId="0" borderId="3" xfId="0" applyFont="1" applyBorder="1" applyAlignment="1">
      <alignment wrapText="1"/>
    </xf>
    <xf numFmtId="0" fontId="10" fillId="0" borderId="26" xfId="0" applyFont="1" applyBorder="1" applyAlignment="1">
      <alignment wrapText="1"/>
    </xf>
    <xf numFmtId="0" fontId="2" fillId="2" borderId="3" xfId="2" applyFill="1" applyBorder="1" applyAlignment="1">
      <alignment wrapText="1"/>
    </xf>
    <xf numFmtId="0" fontId="10" fillId="0" borderId="27" xfId="0" applyFont="1" applyBorder="1" applyAlignment="1">
      <alignment wrapText="1"/>
    </xf>
    <xf numFmtId="0" fontId="10" fillId="0" borderId="29" xfId="0" applyFont="1" applyBorder="1" applyAlignment="1">
      <alignment wrapText="1"/>
    </xf>
    <xf numFmtId="0" fontId="10" fillId="0" borderId="24" xfId="0" applyFont="1" applyBorder="1" applyAlignment="1">
      <alignment wrapText="1"/>
    </xf>
    <xf numFmtId="0" fontId="10" fillId="0" borderId="33" xfId="0" applyFont="1" applyBorder="1" applyAlignment="1">
      <alignment wrapText="1"/>
    </xf>
    <xf numFmtId="0" fontId="2" fillId="2" borderId="27" xfId="2" applyFill="1" applyBorder="1" applyAlignment="1">
      <alignment wrapText="1"/>
    </xf>
    <xf numFmtId="0" fontId="11" fillId="0" borderId="29" xfId="0" applyFont="1" applyBorder="1" applyAlignment="1">
      <alignment horizontal="left"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 fillId="0" borderId="1" xfId="0" applyFont="1" applyBorder="1" applyAlignment="1">
      <alignment wrapText="1"/>
    </xf>
    <xf numFmtId="0" fontId="12" fillId="0" borderId="0" xfId="0" applyFont="1" applyAlignment="1">
      <alignment horizontal="center" vertical="center" wrapText="1"/>
    </xf>
    <xf numFmtId="0" fontId="10" fillId="0" borderId="0" xfId="0" applyFont="1" applyAlignment="1">
      <alignment vertical="center" wrapText="1"/>
    </xf>
    <xf numFmtId="0" fontId="10" fillId="0" borderId="1" xfId="0" applyFont="1" applyBorder="1" applyAlignment="1">
      <alignment vertical="center" wrapText="1"/>
    </xf>
    <xf numFmtId="0" fontId="10" fillId="0" borderId="0" xfId="0" applyFont="1" applyAlignment="1">
      <alignment vertical="top" wrapText="1"/>
    </xf>
    <xf numFmtId="0" fontId="14" fillId="0" borderId="0" xfId="0" applyFont="1" applyAlignment="1">
      <alignment wrapText="1"/>
    </xf>
    <xf numFmtId="0" fontId="15" fillId="0" borderId="1" xfId="0" applyFont="1" applyBorder="1" applyAlignment="1">
      <alignment horizontal="justify" vertical="center" wrapText="1"/>
    </xf>
    <xf numFmtId="0" fontId="15" fillId="4" borderId="1" xfId="0" applyFont="1" applyFill="1" applyBorder="1" applyAlignment="1">
      <alignment horizontal="left" vertical="center" wrapText="1"/>
    </xf>
    <xf numFmtId="0" fontId="15" fillId="4" borderId="1" xfId="0" applyFont="1" applyFill="1" applyBorder="1" applyAlignment="1">
      <alignment horizontal="justify" vertical="center" wrapText="1"/>
    </xf>
    <xf numFmtId="0" fontId="15" fillId="0" borderId="1" xfId="0" applyFont="1" applyBorder="1" applyAlignment="1">
      <alignment horizontal="left" vertical="center"/>
    </xf>
    <xf numFmtId="0" fontId="14" fillId="0" borderId="0" xfId="0" applyFont="1" applyAlignment="1">
      <alignment horizontal="left" vertical="top" wrapText="1"/>
    </xf>
    <xf numFmtId="0" fontId="15" fillId="16" borderId="1" xfId="0" applyFont="1" applyFill="1" applyBorder="1" applyAlignment="1">
      <alignment horizontal="justify" vertical="center" wrapText="1"/>
    </xf>
    <xf numFmtId="0" fontId="17" fillId="17" borderId="68" xfId="0" applyFont="1" applyFill="1" applyBorder="1" applyAlignment="1">
      <alignment horizontal="justify" vertical="center" wrapText="1"/>
    </xf>
    <xf numFmtId="9" fontId="15" fillId="16" borderId="1" xfId="6" applyFont="1" applyFill="1" applyBorder="1" applyAlignment="1">
      <alignment horizontal="justify" vertical="center" wrapText="1"/>
    </xf>
    <xf numFmtId="0" fontId="17" fillId="17" borderId="68" xfId="0" applyFont="1" applyFill="1" applyBorder="1" applyAlignment="1">
      <alignment horizontal="center" vertical="center" wrapText="1"/>
    </xf>
    <xf numFmtId="0" fontId="17" fillId="17" borderId="67" xfId="0" applyFont="1" applyFill="1" applyBorder="1" applyAlignment="1">
      <alignment horizontal="center" vertical="center" wrapText="1"/>
    </xf>
    <xf numFmtId="0" fontId="17" fillId="17" borderId="68"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4" xfId="0" applyFont="1" applyBorder="1" applyAlignment="1">
      <alignment horizontal="center" vertical="center" wrapText="1"/>
    </xf>
    <xf numFmtId="0" fontId="12" fillId="0" borderId="1" xfId="0" applyFont="1" applyBorder="1" applyAlignment="1">
      <alignment horizontal="center" wrapText="1"/>
    </xf>
    <xf numFmtId="0" fontId="12" fillId="0" borderId="9" xfId="0" applyFont="1" applyBorder="1" applyAlignment="1">
      <alignment horizontal="center" wrapText="1"/>
    </xf>
    <xf numFmtId="0" fontId="10" fillId="0" borderId="0" xfId="0" applyFont="1" applyAlignment="1">
      <alignment horizontal="center" wrapText="1"/>
    </xf>
    <xf numFmtId="0" fontId="15" fillId="16" borderId="5" xfId="0" applyFont="1" applyFill="1" applyBorder="1" applyAlignment="1">
      <alignment horizontal="center" vertical="center" wrapText="1"/>
    </xf>
    <xf numFmtId="0" fontId="15" fillId="16" borderId="7" xfId="0" applyFont="1" applyFill="1" applyBorder="1" applyAlignment="1">
      <alignment horizontal="center" vertical="center" wrapText="1"/>
    </xf>
    <xf numFmtId="0" fontId="15" fillId="16" borderId="4" xfId="0" applyFont="1" applyFill="1" applyBorder="1" applyAlignment="1">
      <alignment horizontal="center" vertical="center" wrapText="1"/>
    </xf>
    <xf numFmtId="0" fontId="26" fillId="0" borderId="1" xfId="2" applyFont="1" applyBorder="1" applyAlignment="1">
      <alignment horizontal="left" vertical="top"/>
    </xf>
    <xf numFmtId="0" fontId="26" fillId="0" borderId="0" xfId="2" applyFont="1" applyAlignment="1">
      <alignment horizontal="left" vertical="top"/>
    </xf>
    <xf numFmtId="0" fontId="8" fillId="0" borderId="34" xfId="0" applyFont="1" applyBorder="1" applyAlignment="1">
      <alignment horizontal="left" vertical="top" wrapText="1"/>
    </xf>
    <xf numFmtId="0" fontId="8" fillId="0" borderId="6" xfId="0" applyFont="1" applyBorder="1" applyAlignment="1">
      <alignment horizontal="left" vertical="top" wrapText="1"/>
    </xf>
    <xf numFmtId="0" fontId="8" fillId="0" borderId="36" xfId="0" applyFont="1" applyBorder="1" applyAlignment="1">
      <alignment horizontal="left" vertical="top" wrapText="1"/>
    </xf>
    <xf numFmtId="0" fontId="8" fillId="0" borderId="25" xfId="0" applyFont="1" applyBorder="1" applyAlignment="1">
      <alignment horizontal="left" vertical="top" wrapText="1"/>
    </xf>
    <xf numFmtId="0" fontId="8" fillId="0" borderId="30" xfId="0" applyFont="1" applyBorder="1" applyAlignment="1">
      <alignment horizontal="left" vertical="top" wrapText="1"/>
    </xf>
    <xf numFmtId="0" fontId="8" fillId="0" borderId="31" xfId="0" applyFont="1" applyBorder="1" applyAlignment="1">
      <alignment horizontal="left" vertical="top" wrapText="1"/>
    </xf>
    <xf numFmtId="0" fontId="8" fillId="0" borderId="32" xfId="0" applyFont="1" applyBorder="1" applyAlignment="1">
      <alignment horizontal="left" vertical="top" wrapText="1"/>
    </xf>
    <xf numFmtId="0" fontId="8" fillId="0" borderId="3" xfId="0" applyFont="1" applyBorder="1" applyAlignment="1">
      <alignment horizontal="left" vertical="top" wrapText="1"/>
    </xf>
    <xf numFmtId="0" fontId="8" fillId="0" borderId="1" xfId="0" applyFont="1" applyBorder="1" applyAlignment="1">
      <alignment horizontal="left" vertical="top" wrapText="1"/>
    </xf>
    <xf numFmtId="0" fontId="8" fillId="0" borderId="8" xfId="0" applyFont="1" applyBorder="1" applyAlignment="1">
      <alignment horizontal="left" vertical="top" wrapText="1"/>
    </xf>
    <xf numFmtId="0" fontId="8" fillId="0" borderId="26" xfId="0" applyFont="1" applyBorder="1" applyAlignment="1">
      <alignment horizontal="left" vertical="top" wrapText="1"/>
    </xf>
    <xf numFmtId="0" fontId="9" fillId="12" borderId="3" xfId="0" applyFont="1" applyFill="1" applyBorder="1" applyAlignment="1">
      <alignment horizontal="left" vertical="top" wrapText="1"/>
    </xf>
    <xf numFmtId="0" fontId="9" fillId="0" borderId="1" xfId="0" applyFont="1" applyBorder="1" applyAlignment="1">
      <alignment horizontal="left" vertical="top" wrapText="1"/>
    </xf>
    <xf numFmtId="0" fontId="9" fillId="0" borderId="8" xfId="0" applyFont="1" applyBorder="1" applyAlignment="1">
      <alignment horizontal="left" vertical="top" wrapText="1"/>
    </xf>
    <xf numFmtId="9" fontId="9" fillId="0" borderId="26" xfId="0" applyNumberFormat="1" applyFont="1" applyBorder="1" applyAlignment="1">
      <alignment horizontal="left" vertical="top" wrapText="1"/>
    </xf>
    <xf numFmtId="9" fontId="9" fillId="0" borderId="1" xfId="0" applyNumberFormat="1" applyFont="1" applyBorder="1" applyAlignment="1">
      <alignment horizontal="left" vertical="top" wrapText="1"/>
    </xf>
    <xf numFmtId="0" fontId="9" fillId="0" borderId="33" xfId="0" applyFont="1" applyBorder="1" applyAlignment="1">
      <alignment horizontal="left" vertical="top" wrapText="1"/>
    </xf>
    <xf numFmtId="0" fontId="9" fillId="13" borderId="3" xfId="0" applyFont="1" applyFill="1" applyBorder="1" applyAlignment="1">
      <alignment horizontal="left" vertical="top" wrapText="1"/>
    </xf>
    <xf numFmtId="0" fontId="9" fillId="0" borderId="26" xfId="0" applyFont="1" applyBorder="1" applyAlignment="1">
      <alignment horizontal="left" vertical="top" wrapText="1"/>
    </xf>
    <xf numFmtId="0" fontId="9" fillId="14" borderId="3" xfId="0" applyFont="1" applyFill="1" applyBorder="1" applyAlignment="1">
      <alignment horizontal="left" vertical="top" wrapText="1"/>
    </xf>
    <xf numFmtId="0" fontId="9" fillId="8" borderId="3" xfId="0" applyFont="1" applyFill="1" applyBorder="1" applyAlignment="1">
      <alignment horizontal="left" vertical="top" wrapText="1"/>
    </xf>
    <xf numFmtId="0" fontId="9" fillId="15" borderId="3" xfId="0" applyFont="1" applyFill="1" applyBorder="1" applyAlignment="1">
      <alignment horizontal="left" vertical="top" wrapText="1"/>
    </xf>
    <xf numFmtId="0" fontId="27" fillId="2" borderId="1" xfId="2" applyFont="1" applyFill="1" applyBorder="1" applyAlignment="1">
      <alignment horizontal="left" vertical="top"/>
    </xf>
    <xf numFmtId="0" fontId="26" fillId="0" borderId="8" xfId="0" applyFont="1" applyBorder="1" applyAlignment="1">
      <alignment horizontal="left" vertical="top" wrapText="1"/>
    </xf>
    <xf numFmtId="0" fontId="26" fillId="0" borderId="19" xfId="0" applyFont="1" applyBorder="1" applyAlignment="1">
      <alignment horizontal="left" vertical="top" wrapText="1"/>
    </xf>
    <xf numFmtId="9" fontId="27" fillId="0" borderId="0" xfId="0" applyNumberFormat="1" applyFont="1" applyAlignment="1">
      <alignment horizontal="left" vertical="top" wrapText="1"/>
    </xf>
    <xf numFmtId="0" fontId="27" fillId="0" borderId="0" xfId="2" applyFont="1" applyAlignment="1">
      <alignment horizontal="left" vertical="top" wrapText="1"/>
    </xf>
    <xf numFmtId="9" fontId="26" fillId="0" borderId="0" xfId="0" applyNumberFormat="1" applyFont="1" applyAlignment="1">
      <alignment horizontal="left" vertical="top" wrapText="1"/>
    </xf>
    <xf numFmtId="0" fontId="26" fillId="0" borderId="1" xfId="0" applyFont="1" applyBorder="1" applyAlignment="1">
      <alignment horizontal="left" vertical="top" wrapText="1"/>
    </xf>
    <xf numFmtId="0" fontId="27" fillId="2" borderId="0" xfId="2" applyFont="1" applyFill="1" applyAlignment="1">
      <alignment horizontal="left" vertical="top"/>
    </xf>
    <xf numFmtId="0" fontId="26" fillId="2" borderId="1" xfId="2" applyFont="1" applyFill="1" applyBorder="1" applyAlignment="1">
      <alignment horizontal="left" vertical="top" wrapText="1"/>
    </xf>
    <xf numFmtId="14" fontId="27" fillId="0" borderId="1" xfId="0" applyNumberFormat="1" applyFont="1" applyBorder="1" applyAlignment="1">
      <alignment horizontal="left" vertical="top" wrapText="1"/>
    </xf>
    <xf numFmtId="0" fontId="26" fillId="0" borderId="0" xfId="0" applyFont="1" applyAlignment="1">
      <alignment horizontal="left" vertical="top" wrapText="1"/>
    </xf>
    <xf numFmtId="0" fontId="26" fillId="2" borderId="0" xfId="2" applyFont="1" applyFill="1" applyAlignment="1">
      <alignment horizontal="left" vertical="top" wrapText="1"/>
    </xf>
    <xf numFmtId="14" fontId="27" fillId="0" borderId="0" xfId="0" applyNumberFormat="1" applyFont="1" applyAlignment="1">
      <alignment horizontal="left" vertical="top" wrapText="1"/>
    </xf>
    <xf numFmtId="0" fontId="26" fillId="0" borderId="1" xfId="2" applyFont="1" applyBorder="1" applyAlignment="1">
      <alignment horizontal="left" vertical="top" wrapText="1"/>
    </xf>
    <xf numFmtId="0" fontId="27" fillId="4" borderId="8" xfId="2" applyFont="1" applyFill="1" applyBorder="1" applyAlignment="1">
      <alignment horizontal="left" vertical="top" wrapText="1"/>
    </xf>
    <xf numFmtId="0" fontId="27" fillId="4" borderId="10" xfId="2" applyFont="1" applyFill="1" applyBorder="1" applyAlignment="1">
      <alignment horizontal="left" vertical="top" wrapText="1"/>
    </xf>
    <xf numFmtId="0" fontId="27" fillId="4" borderId="19" xfId="2" applyFont="1" applyFill="1" applyBorder="1" applyAlignment="1">
      <alignment horizontal="left" vertical="top" wrapText="1"/>
    </xf>
    <xf numFmtId="14" fontId="26" fillId="0" borderId="1" xfId="0" applyNumberFormat="1" applyFont="1" applyBorder="1" applyAlignment="1">
      <alignment horizontal="left" vertical="top" wrapText="1"/>
    </xf>
    <xf numFmtId="0" fontId="27" fillId="4" borderId="1" xfId="2" applyFont="1" applyFill="1" applyBorder="1" applyAlignment="1">
      <alignment horizontal="left" vertical="top" wrapText="1"/>
    </xf>
    <xf numFmtId="0" fontId="27" fillId="4" borderId="4" xfId="2" applyFont="1" applyFill="1" applyBorder="1" applyAlignment="1">
      <alignment horizontal="left" vertical="top" wrapText="1"/>
    </xf>
    <xf numFmtId="0" fontId="26" fillId="0" borderId="60" xfId="2" applyFont="1" applyBorder="1" applyAlignment="1">
      <alignment horizontal="left" vertical="top" wrapText="1"/>
    </xf>
    <xf numFmtId="0" fontId="27" fillId="4" borderId="11" xfId="2" applyFont="1" applyFill="1" applyBorder="1" applyAlignment="1">
      <alignment horizontal="left" vertical="top" wrapText="1"/>
    </xf>
    <xf numFmtId="0" fontId="27" fillId="4" borderId="0" xfId="2" applyFont="1" applyFill="1" applyAlignment="1">
      <alignment horizontal="left" vertical="top" wrapText="1"/>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6" fillId="0" borderId="34" xfId="2" applyFont="1" applyBorder="1" applyAlignment="1">
      <alignment horizontal="left" vertical="top" wrapText="1"/>
    </xf>
    <xf numFmtId="0" fontId="26" fillId="0" borderId="36" xfId="2" applyFont="1" applyBorder="1" applyAlignment="1">
      <alignment horizontal="left" vertical="top" wrapText="1"/>
    </xf>
    <xf numFmtId="0" fontId="26" fillId="0" borderId="21" xfId="2" applyFont="1" applyBorder="1" applyAlignment="1">
      <alignment horizontal="left" vertical="top" wrapText="1"/>
    </xf>
    <xf numFmtId="0" fontId="26" fillId="0" borderId="22" xfId="2" applyFont="1" applyBorder="1" applyAlignment="1">
      <alignment horizontal="left" vertical="top" wrapText="1"/>
    </xf>
    <xf numFmtId="0" fontId="26" fillId="0" borderId="23" xfId="2" applyFont="1" applyBorder="1" applyAlignment="1">
      <alignment horizontal="left" vertical="top" wrapText="1"/>
    </xf>
    <xf numFmtId="0" fontId="26" fillId="0" borderId="0" xfId="2" applyFont="1" applyAlignment="1">
      <alignment horizontal="left" vertical="top" wrapText="1"/>
    </xf>
    <xf numFmtId="0" fontId="26" fillId="0" borderId="3" xfId="2" applyFont="1" applyBorder="1" applyAlignment="1">
      <alignment horizontal="left" vertical="top" wrapText="1"/>
    </xf>
    <xf numFmtId="0" fontId="26" fillId="0" borderId="8" xfId="2" applyFont="1" applyBorder="1" applyAlignment="1">
      <alignment horizontal="left" vertical="top" wrapText="1"/>
    </xf>
    <xf numFmtId="0" fontId="26" fillId="0" borderId="24" xfId="2" applyFont="1" applyBorder="1" applyAlignment="1">
      <alignment horizontal="left" vertical="top" wrapText="1"/>
    </xf>
    <xf numFmtId="9" fontId="26" fillId="0" borderId="11" xfId="2" applyNumberFormat="1" applyFont="1" applyBorder="1" applyAlignment="1">
      <alignment horizontal="left" vertical="top" wrapText="1"/>
    </xf>
    <xf numFmtId="0" fontId="26" fillId="0" borderId="33" xfId="2" applyFont="1" applyBorder="1" applyAlignment="1">
      <alignment horizontal="left" vertical="top" wrapText="1"/>
    </xf>
    <xf numFmtId="9" fontId="26" fillId="0" borderId="34" xfId="2" applyNumberFormat="1" applyFont="1" applyBorder="1" applyAlignment="1">
      <alignment horizontal="left" vertical="top" wrapText="1"/>
    </xf>
    <xf numFmtId="9" fontId="26" fillId="0" borderId="6" xfId="2" applyNumberFormat="1" applyFont="1" applyBorder="1" applyAlignment="1">
      <alignment horizontal="left" vertical="top" wrapText="1"/>
    </xf>
    <xf numFmtId="9" fontId="26" fillId="0" borderId="36" xfId="2" applyNumberFormat="1" applyFont="1" applyBorder="1" applyAlignment="1">
      <alignment horizontal="left" vertical="top" wrapText="1"/>
    </xf>
    <xf numFmtId="9" fontId="26" fillId="0" borderId="25" xfId="2" applyNumberFormat="1" applyFont="1" applyBorder="1" applyAlignment="1">
      <alignment horizontal="left" vertical="top" wrapText="1"/>
    </xf>
    <xf numFmtId="0" fontId="27" fillId="0" borderId="3" xfId="2" applyFont="1" applyBorder="1" applyAlignment="1">
      <alignment horizontal="left" vertical="top" wrapText="1"/>
    </xf>
    <xf numFmtId="0" fontId="27" fillId="0" borderId="8" xfId="2" applyFont="1" applyBorder="1" applyAlignment="1">
      <alignment horizontal="left" vertical="top" wrapText="1"/>
    </xf>
    <xf numFmtId="3" fontId="27" fillId="3" borderId="3" xfId="2" applyNumberFormat="1" applyFont="1" applyFill="1" applyBorder="1" applyAlignment="1" applyProtection="1">
      <alignment horizontal="left" vertical="top" wrapText="1"/>
      <protection locked="0"/>
    </xf>
    <xf numFmtId="0" fontId="27" fillId="0" borderId="19" xfId="2" applyFont="1" applyBorder="1" applyAlignment="1">
      <alignment horizontal="left" vertical="top" wrapText="1"/>
    </xf>
    <xf numFmtId="9" fontId="9" fillId="0" borderId="11" xfId="0" applyNumberFormat="1" applyFont="1" applyBorder="1" applyAlignment="1">
      <alignment horizontal="left" vertical="top" wrapText="1"/>
    </xf>
    <xf numFmtId="9" fontId="9" fillId="0" borderId="33" xfId="0" applyNumberFormat="1" applyFont="1" applyBorder="1" applyAlignment="1">
      <alignment horizontal="left" vertical="top" wrapText="1"/>
    </xf>
    <xf numFmtId="9" fontId="9" fillId="3" borderId="3" xfId="0" applyNumberFormat="1" applyFont="1" applyFill="1" applyBorder="1" applyAlignment="1" applyProtection="1">
      <alignment horizontal="left" vertical="top" wrapText="1"/>
      <protection locked="0"/>
    </xf>
    <xf numFmtId="9" fontId="9" fillId="0" borderId="8" xfId="0" applyNumberFormat="1" applyFont="1" applyBorder="1" applyAlignment="1">
      <alignment horizontal="left" vertical="top" wrapText="1"/>
    </xf>
    <xf numFmtId="9" fontId="8" fillId="0" borderId="3" xfId="0" applyNumberFormat="1" applyFont="1" applyBorder="1" applyAlignment="1">
      <alignment horizontal="left" vertical="top" wrapText="1"/>
    </xf>
    <xf numFmtId="9" fontId="8" fillId="0" borderId="26" xfId="0" applyNumberFormat="1" applyFont="1" applyBorder="1" applyAlignment="1">
      <alignment horizontal="left" vertical="top" wrapText="1"/>
    </xf>
    <xf numFmtId="0" fontId="27" fillId="3" borderId="3" xfId="2" applyFont="1" applyFill="1" applyBorder="1" applyAlignment="1" applyProtection="1">
      <alignment horizontal="left" vertical="top" wrapText="1"/>
      <protection locked="0"/>
    </xf>
    <xf numFmtId="0" fontId="27" fillId="22" borderId="3" xfId="2" applyFont="1" applyFill="1" applyBorder="1" applyAlignment="1" applyProtection="1">
      <alignment horizontal="left" vertical="top" wrapText="1"/>
      <protection locked="0"/>
    </xf>
    <xf numFmtId="0" fontId="27" fillId="0" borderId="27" xfId="2" applyFont="1" applyBorder="1" applyAlignment="1">
      <alignment horizontal="left" vertical="top" wrapText="1"/>
    </xf>
    <xf numFmtId="0" fontId="27" fillId="0" borderId="28" xfId="2" applyFont="1" applyBorder="1" applyAlignment="1">
      <alignment horizontal="left" vertical="top" wrapText="1"/>
    </xf>
    <xf numFmtId="0" fontId="27" fillId="0" borderId="37" xfId="2" applyFont="1" applyBorder="1" applyAlignment="1">
      <alignment horizontal="left" vertical="top" wrapText="1"/>
    </xf>
    <xf numFmtId="0" fontId="27" fillId="0" borderId="29" xfId="2" applyFont="1" applyBorder="1" applyAlignment="1">
      <alignment horizontal="left" vertical="top" wrapText="1"/>
    </xf>
    <xf numFmtId="0" fontId="27" fillId="0" borderId="38" xfId="2" applyFont="1" applyBorder="1" applyAlignment="1">
      <alignment horizontal="left" vertical="top" wrapText="1"/>
    </xf>
    <xf numFmtId="9" fontId="9" fillId="0" borderId="40" xfId="0" applyNumberFormat="1" applyFont="1" applyBorder="1" applyAlignment="1">
      <alignment horizontal="left" vertical="top" wrapText="1"/>
    </xf>
    <xf numFmtId="9" fontId="9" fillId="0" borderId="35" xfId="0" applyNumberFormat="1" applyFont="1" applyBorder="1" applyAlignment="1">
      <alignment horizontal="left" vertical="top" wrapText="1"/>
    </xf>
    <xf numFmtId="9" fontId="9" fillId="3" borderId="27" xfId="0" applyNumberFormat="1" applyFont="1" applyFill="1" applyBorder="1" applyAlignment="1" applyProtection="1">
      <alignment horizontal="left" vertical="top" wrapText="1"/>
      <protection locked="0"/>
    </xf>
    <xf numFmtId="9" fontId="9" fillId="0" borderId="28" xfId="0" applyNumberFormat="1" applyFont="1" applyBorder="1" applyAlignment="1">
      <alignment horizontal="left" vertical="top" wrapText="1"/>
    </xf>
    <xf numFmtId="9" fontId="9" fillId="0" borderId="37" xfId="0" applyNumberFormat="1" applyFont="1" applyBorder="1" applyAlignment="1">
      <alignment horizontal="left" vertical="top" wrapText="1"/>
    </xf>
    <xf numFmtId="9" fontId="8" fillId="0" borderId="27" xfId="0" applyNumberFormat="1" applyFont="1" applyBorder="1" applyAlignment="1">
      <alignment horizontal="left" vertical="top" wrapText="1"/>
    </xf>
    <xf numFmtId="9" fontId="8" fillId="0" borderId="29" xfId="0" applyNumberFormat="1" applyFont="1" applyBorder="1" applyAlignment="1">
      <alignment horizontal="left" vertical="top" wrapText="1"/>
    </xf>
    <xf numFmtId="9" fontId="27" fillId="0" borderId="0" xfId="2" applyNumberFormat="1" applyFont="1" applyAlignment="1">
      <alignment horizontal="left" vertical="top" wrapText="1"/>
    </xf>
    <xf numFmtId="9" fontId="26" fillId="0" borderId="0" xfId="2" applyNumberFormat="1" applyFont="1" applyAlignment="1">
      <alignment horizontal="left" vertical="top" wrapText="1"/>
    </xf>
    <xf numFmtId="0" fontId="27" fillId="0" borderId="8" xfId="2" applyFont="1" applyBorder="1" applyAlignment="1">
      <alignment horizontal="left" vertical="top" wrapText="1"/>
    </xf>
    <xf numFmtId="0" fontId="27" fillId="0" borderId="10" xfId="2" applyFont="1" applyBorder="1" applyAlignment="1">
      <alignment horizontal="left" vertical="top" wrapText="1"/>
    </xf>
    <xf numFmtId="0" fontId="27" fillId="0" borderId="19" xfId="2" applyFont="1" applyBorder="1" applyAlignment="1">
      <alignment horizontal="left" vertical="top" wrapText="1"/>
    </xf>
    <xf numFmtId="0" fontId="26" fillId="0" borderId="4" xfId="2" applyFont="1" applyBorder="1" applyAlignment="1">
      <alignment horizontal="left" vertical="top" wrapText="1"/>
    </xf>
    <xf numFmtId="0" fontId="27" fillId="0" borderId="0" xfId="2" applyFont="1" applyAlignment="1" applyProtection="1">
      <alignment horizontal="left" vertical="top" wrapText="1"/>
      <protection locked="0"/>
    </xf>
    <xf numFmtId="0" fontId="27" fillId="3" borderId="1" xfId="2" applyFont="1" applyFill="1" applyBorder="1" applyAlignment="1" applyProtection="1">
      <alignment horizontal="left" vertical="top" wrapText="1"/>
      <protection locked="0"/>
    </xf>
    <xf numFmtId="0" fontId="27" fillId="3" borderId="1" xfId="0" applyFont="1" applyFill="1" applyBorder="1" applyAlignment="1">
      <alignment horizontal="left" vertical="top" wrapText="1"/>
    </xf>
    <xf numFmtId="0" fontId="27" fillId="19" borderId="1" xfId="0" applyFont="1" applyFill="1" applyBorder="1" applyAlignment="1">
      <alignment horizontal="left" vertical="top" wrapText="1"/>
    </xf>
    <xf numFmtId="0" fontId="26" fillId="0" borderId="1" xfId="2" applyFont="1" applyBorder="1" applyAlignment="1" applyProtection="1">
      <alignment horizontal="left" vertical="top"/>
      <protection locked="0"/>
    </xf>
    <xf numFmtId="0" fontId="26" fillId="0" borderId="1" xfId="0" applyFont="1" applyBorder="1" applyAlignment="1" applyProtection="1">
      <alignment horizontal="left" vertical="top" wrapText="1"/>
      <protection locked="0"/>
    </xf>
    <xf numFmtId="0" fontId="26" fillId="0" borderId="8"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9" xfId="0" applyFont="1" applyBorder="1" applyAlignment="1" applyProtection="1">
      <alignment horizontal="left" vertical="top" wrapText="1"/>
      <protection locked="0"/>
    </xf>
    <xf numFmtId="0" fontId="26" fillId="0" borderId="8" xfId="2" applyFont="1" applyBorder="1" applyAlignment="1">
      <alignment horizontal="left" vertical="top"/>
    </xf>
    <xf numFmtId="0" fontId="26" fillId="0" borderId="10" xfId="2" applyFont="1" applyBorder="1" applyAlignment="1">
      <alignment horizontal="left" vertical="top"/>
    </xf>
    <xf numFmtId="0" fontId="26" fillId="0" borderId="19" xfId="2" applyFont="1" applyBorder="1" applyAlignment="1">
      <alignment horizontal="left" vertical="top"/>
    </xf>
    <xf numFmtId="0" fontId="26" fillId="0" borderId="8" xfId="2" applyFont="1" applyBorder="1" applyAlignment="1">
      <alignment horizontal="left" vertical="top" wrapText="1"/>
    </xf>
    <xf numFmtId="0" fontId="26" fillId="0" borderId="10" xfId="2" applyFont="1" applyBorder="1" applyAlignment="1">
      <alignment horizontal="left" vertical="top" wrapText="1"/>
    </xf>
    <xf numFmtId="0" fontId="26" fillId="0" borderId="19" xfId="2" applyFont="1" applyBorder="1" applyAlignment="1">
      <alignment horizontal="left" vertical="top" wrapText="1"/>
    </xf>
    <xf numFmtId="14" fontId="27" fillId="0" borderId="8" xfId="2" applyNumberFormat="1" applyFont="1" applyBorder="1" applyAlignment="1" applyProtection="1">
      <alignment horizontal="left" vertical="top" wrapText="1"/>
      <protection locked="0"/>
    </xf>
    <xf numFmtId="14" fontId="27" fillId="0" borderId="19" xfId="2" applyNumberFormat="1" applyFont="1" applyBorder="1" applyAlignment="1" applyProtection="1">
      <alignment horizontal="left" vertical="top" wrapText="1"/>
      <protection locked="0"/>
    </xf>
    <xf numFmtId="14" fontId="27" fillId="0" borderId="11" xfId="2" applyNumberFormat="1" applyFont="1" applyBorder="1" applyAlignment="1" applyProtection="1">
      <alignment horizontal="left" vertical="top" wrapText="1"/>
      <protection locked="0"/>
    </xf>
    <xf numFmtId="14" fontId="27" fillId="0" borderId="60" xfId="2" applyNumberFormat="1" applyFont="1" applyBorder="1" applyAlignment="1" applyProtection="1">
      <alignment horizontal="left" vertical="top" wrapText="1"/>
      <protection locked="0"/>
    </xf>
    <xf numFmtId="14" fontId="26" fillId="0" borderId="4" xfId="2" applyNumberFormat="1" applyFont="1" applyBorder="1" applyAlignment="1" applyProtection="1">
      <alignment horizontal="left" vertical="top" wrapText="1"/>
      <protection locked="0"/>
    </xf>
    <xf numFmtId="14" fontId="27" fillId="0" borderId="1" xfId="2" applyNumberFormat="1" applyFont="1" applyBorder="1" applyAlignment="1" applyProtection="1">
      <alignment horizontal="left" vertical="top" wrapText="1"/>
      <protection locked="0"/>
    </xf>
    <xf numFmtId="14" fontId="27" fillId="0" borderId="0" xfId="2" applyNumberFormat="1" applyFont="1" applyAlignment="1" applyProtection="1">
      <alignment horizontal="left" vertical="top" wrapText="1"/>
      <protection locked="0"/>
    </xf>
    <xf numFmtId="0" fontId="26" fillId="0" borderId="1" xfId="2" applyFont="1" applyBorder="1" applyAlignment="1">
      <alignment horizontal="left" vertical="top" wrapText="1"/>
    </xf>
    <xf numFmtId="0" fontId="26" fillId="0" borderId="7" xfId="2" applyFont="1" applyBorder="1" applyAlignment="1">
      <alignment horizontal="left" vertical="top" wrapText="1"/>
    </xf>
    <xf numFmtId="0" fontId="27" fillId="0" borderId="1" xfId="2" applyFont="1" applyBorder="1" applyAlignment="1">
      <alignment horizontal="left" vertical="top" wrapText="1"/>
    </xf>
    <xf numFmtId="0" fontId="27" fillId="0" borderId="1" xfId="2" applyFont="1" applyBorder="1" applyAlignment="1" applyProtection="1">
      <alignment horizontal="left" vertical="top" wrapText="1"/>
      <protection locked="0"/>
    </xf>
    <xf numFmtId="0" fontId="27" fillId="2" borderId="0" xfId="2" applyFont="1" applyFill="1" applyAlignment="1">
      <alignment horizontal="left" vertical="top" wrapText="1"/>
    </xf>
    <xf numFmtId="0" fontId="27" fillId="0" borderId="6" xfId="2" applyFont="1" applyBorder="1" applyAlignment="1">
      <alignment horizontal="left" vertical="top" wrapText="1"/>
    </xf>
    <xf numFmtId="0" fontId="5" fillId="3" borderId="71" xfId="2" applyFont="1" applyFill="1" applyBorder="1" applyAlignment="1" applyProtection="1">
      <alignment horizontal="left" vertical="top" wrapText="1"/>
      <protection locked="0"/>
    </xf>
    <xf numFmtId="0" fontId="5" fillId="3" borderId="6" xfId="2" applyFont="1" applyFill="1" applyBorder="1" applyAlignment="1" applyProtection="1">
      <alignment horizontal="left" vertical="top" wrapText="1"/>
      <protection locked="0"/>
    </xf>
    <xf numFmtId="0" fontId="5" fillId="0" borderId="1" xfId="2" applyFont="1" applyBorder="1" applyAlignment="1">
      <alignment horizontal="left" vertical="top" wrapText="1"/>
    </xf>
    <xf numFmtId="0" fontId="5" fillId="3" borderId="1" xfId="2" applyFont="1" applyFill="1" applyBorder="1" applyAlignment="1" applyProtection="1">
      <alignment horizontal="left" vertical="top" wrapText="1"/>
      <protection locked="0"/>
    </xf>
    <xf numFmtId="0" fontId="27" fillId="0" borderId="1" xfId="2" applyFont="1" applyBorder="1" applyAlignment="1">
      <alignment horizontal="left" vertical="top" wrapText="1"/>
    </xf>
    <xf numFmtId="0" fontId="5" fillId="3" borderId="19" xfId="2" applyFont="1" applyFill="1" applyBorder="1" applyAlignment="1" applyProtection="1">
      <alignment horizontal="left" vertical="top" wrapText="1"/>
      <protection locked="0"/>
    </xf>
    <xf numFmtId="0" fontId="27" fillId="0" borderId="28" xfId="2" applyFont="1" applyBorder="1" applyAlignment="1">
      <alignment horizontal="left" vertical="top" wrapText="1"/>
    </xf>
    <xf numFmtId="0" fontId="5" fillId="3" borderId="38" xfId="2" applyFont="1" applyFill="1" applyBorder="1" applyAlignment="1" applyProtection="1">
      <alignment horizontal="left" vertical="top" wrapText="1"/>
      <protection locked="0"/>
    </xf>
    <xf numFmtId="0" fontId="5" fillId="3" borderId="28" xfId="2" applyFont="1" applyFill="1" applyBorder="1" applyAlignment="1" applyProtection="1">
      <alignment horizontal="left" vertical="top" wrapText="1"/>
      <protection locked="0"/>
    </xf>
    <xf numFmtId="0" fontId="27" fillId="0" borderId="5" xfId="2" applyFont="1" applyBorder="1" applyAlignment="1">
      <alignment horizontal="left" vertical="top" wrapText="1"/>
    </xf>
    <xf numFmtId="0" fontId="5" fillId="3" borderId="20" xfId="2" applyFont="1" applyFill="1" applyBorder="1" applyAlignment="1" applyProtection="1">
      <alignment horizontal="left" vertical="top" wrapText="1"/>
      <protection locked="0"/>
    </xf>
    <xf numFmtId="0" fontId="5" fillId="3" borderId="5" xfId="2" applyFont="1" applyFill="1" applyBorder="1" applyAlignment="1" applyProtection="1">
      <alignment horizontal="left" vertical="top" wrapText="1"/>
      <protection locked="0"/>
    </xf>
    <xf numFmtId="0" fontId="27" fillId="0" borderId="4" xfId="2" applyFont="1" applyBorder="1" applyAlignment="1">
      <alignment horizontal="left" vertical="top" wrapText="1"/>
    </xf>
    <xf numFmtId="0" fontId="5" fillId="3" borderId="60" xfId="2" applyFont="1" applyFill="1" applyBorder="1" applyAlignment="1" applyProtection="1">
      <alignment horizontal="left" vertical="top" wrapText="1"/>
      <protection locked="0"/>
    </xf>
    <xf numFmtId="0" fontId="5" fillId="3" borderId="4" xfId="2" applyFont="1" applyFill="1" applyBorder="1" applyAlignment="1" applyProtection="1">
      <alignment horizontal="left" vertical="top" wrapText="1"/>
      <protection locked="0"/>
    </xf>
    <xf numFmtId="0" fontId="5" fillId="2" borderId="1" xfId="2" applyFont="1" applyFill="1" applyBorder="1" applyAlignment="1">
      <alignment horizontal="left" vertical="top"/>
    </xf>
    <xf numFmtId="0" fontId="4" fillId="0" borderId="5" xfId="2" applyFont="1" applyBorder="1" applyAlignment="1">
      <alignment horizontal="left" vertical="top"/>
    </xf>
    <xf numFmtId="0" fontId="5" fillId="2" borderId="0" xfId="2" applyFont="1" applyFill="1" applyAlignment="1">
      <alignment horizontal="left" vertical="top" wrapText="1"/>
    </xf>
    <xf numFmtId="0" fontId="5" fillId="2" borderId="0" xfId="2" applyFont="1" applyFill="1" applyAlignment="1">
      <alignment horizontal="left" vertical="top"/>
    </xf>
    <xf numFmtId="0" fontId="4" fillId="2" borderId="5" xfId="2" applyFont="1" applyFill="1" applyBorder="1" applyAlignment="1">
      <alignment horizontal="left" vertical="top" wrapText="1"/>
    </xf>
    <xf numFmtId="9" fontId="5" fillId="0" borderId="0" xfId="2" applyNumberFormat="1" applyFont="1" applyAlignment="1">
      <alignment horizontal="left" vertical="top"/>
    </xf>
    <xf numFmtId="0" fontId="5" fillId="0" borderId="0" xfId="2" applyFont="1" applyAlignment="1">
      <alignment horizontal="left" vertical="top"/>
    </xf>
    <xf numFmtId="49" fontId="5" fillId="0" borderId="0" xfId="2" applyNumberFormat="1" applyFont="1" applyAlignment="1">
      <alignment horizontal="left" vertical="top"/>
    </xf>
    <xf numFmtId="0" fontId="4" fillId="0" borderId="0" xfId="2" applyFont="1" applyAlignment="1">
      <alignment horizontal="left" vertical="top" wrapText="1"/>
    </xf>
    <xf numFmtId="0" fontId="5" fillId="0" borderId="0" xfId="2" applyFont="1" applyAlignment="1">
      <alignment horizontal="left" vertical="top" wrapText="1"/>
    </xf>
    <xf numFmtId="0" fontId="4" fillId="0" borderId="4" xfId="2" applyFont="1" applyBorder="1" applyAlignment="1">
      <alignment horizontal="left" vertical="top"/>
    </xf>
    <xf numFmtId="9" fontId="4" fillId="0" borderId="0" xfId="2" applyNumberFormat="1" applyFont="1" applyAlignment="1">
      <alignment horizontal="left" vertical="top"/>
    </xf>
    <xf numFmtId="0" fontId="4" fillId="0" borderId="0" xfId="2" applyFont="1" applyAlignment="1">
      <alignment horizontal="left" vertical="top"/>
    </xf>
    <xf numFmtId="9" fontId="5" fillId="2" borderId="0" xfId="2" applyNumberFormat="1" applyFont="1" applyFill="1" applyAlignment="1">
      <alignment horizontal="left" vertical="top" wrapText="1"/>
    </xf>
    <xf numFmtId="9" fontId="5" fillId="0" borderId="0" xfId="2" applyNumberFormat="1" applyFont="1" applyAlignment="1">
      <alignment horizontal="left" vertical="top" wrapText="1"/>
    </xf>
    <xf numFmtId="0" fontId="4" fillId="0" borderId="64" xfId="2" applyFont="1" applyBorder="1" applyAlignment="1">
      <alignment horizontal="left" vertical="top" wrapText="1"/>
    </xf>
    <xf numFmtId="0" fontId="4" fillId="0" borderId="42" xfId="2" applyFont="1" applyBorder="1" applyAlignment="1">
      <alignment horizontal="left" vertical="top" wrapText="1"/>
    </xf>
    <xf numFmtId="0" fontId="4" fillId="0" borderId="20" xfId="2" applyFont="1" applyBorder="1" applyAlignment="1">
      <alignment horizontal="left" vertical="top" wrapText="1"/>
    </xf>
    <xf numFmtId="9" fontId="4" fillId="0" borderId="64" xfId="2" applyNumberFormat="1" applyFont="1" applyBorder="1" applyAlignment="1">
      <alignment horizontal="left" vertical="top" wrapText="1"/>
    </xf>
    <xf numFmtId="9" fontId="4" fillId="0" borderId="1" xfId="2" applyNumberFormat="1" applyFont="1" applyBorder="1" applyAlignment="1">
      <alignment horizontal="left" vertical="top" wrapText="1"/>
    </xf>
    <xf numFmtId="0" fontId="4" fillId="3" borderId="1" xfId="2" applyFont="1" applyFill="1" applyBorder="1" applyAlignment="1">
      <alignment horizontal="left" vertical="top" wrapText="1"/>
    </xf>
    <xf numFmtId="0" fontId="4" fillId="0" borderId="11" xfId="2" applyFont="1" applyBorder="1" applyAlignment="1">
      <alignment horizontal="left" vertical="top" wrapText="1"/>
    </xf>
    <xf numFmtId="0" fontId="4" fillId="0" borderId="9" xfId="2" applyFont="1" applyBorder="1" applyAlignment="1">
      <alignment horizontal="left" vertical="top" wrapText="1"/>
    </xf>
    <xf numFmtId="0" fontId="4" fillId="0" borderId="60" xfId="2" applyFont="1" applyBorder="1" applyAlignment="1">
      <alignment horizontal="left" vertical="top" wrapText="1"/>
    </xf>
    <xf numFmtId="9" fontId="4" fillId="0" borderId="65" xfId="2" applyNumberFormat="1" applyFont="1" applyBorder="1" applyAlignment="1">
      <alignment horizontal="left" vertical="top" wrapText="1"/>
    </xf>
    <xf numFmtId="0" fontId="4" fillId="0" borderId="1" xfId="2" applyFont="1" applyBorder="1" applyAlignment="1">
      <alignment horizontal="left" vertical="top" wrapText="1"/>
    </xf>
    <xf numFmtId="0" fontId="4" fillId="0" borderId="19" xfId="2" applyFont="1" applyBorder="1" applyAlignment="1">
      <alignment horizontal="left" vertical="top" wrapText="1"/>
    </xf>
    <xf numFmtId="0" fontId="4" fillId="0" borderId="8" xfId="2" applyFont="1" applyBorder="1" applyAlignment="1">
      <alignment horizontal="left" vertical="top" wrapText="1"/>
    </xf>
    <xf numFmtId="0" fontId="4" fillId="0" borderId="10" xfId="2" applyFont="1" applyBorder="1" applyAlignment="1">
      <alignment horizontal="left" vertical="top" wrapText="1"/>
    </xf>
    <xf numFmtId="9" fontId="4" fillId="0" borderId="8" xfId="2" applyNumberFormat="1" applyFont="1" applyBorder="1" applyAlignment="1">
      <alignment horizontal="left" vertical="top" wrapText="1"/>
    </xf>
    <xf numFmtId="9" fontId="4" fillId="0" borderId="10" xfId="2" applyNumberFormat="1" applyFont="1" applyBorder="1" applyAlignment="1">
      <alignment horizontal="left" vertical="top" wrapText="1"/>
    </xf>
    <xf numFmtId="9" fontId="4" fillId="0" borderId="19" xfId="2" applyNumberFormat="1" applyFont="1" applyBorder="1" applyAlignment="1">
      <alignment horizontal="left" vertical="top" wrapText="1"/>
    </xf>
    <xf numFmtId="9" fontId="4" fillId="0" borderId="11" xfId="2" applyNumberFormat="1" applyFont="1" applyBorder="1" applyAlignment="1">
      <alignment horizontal="left" vertical="top" wrapText="1"/>
    </xf>
    <xf numFmtId="0" fontId="4" fillId="0" borderId="5" xfId="2" applyFont="1" applyBorder="1" applyAlignment="1">
      <alignment horizontal="left" vertical="top" wrapText="1"/>
    </xf>
    <xf numFmtId="0" fontId="4" fillId="0" borderId="5" xfId="2" applyFont="1" applyBorder="1" applyAlignment="1">
      <alignment horizontal="left" vertical="top" wrapText="1"/>
    </xf>
    <xf numFmtId="9" fontId="4" fillId="0" borderId="5" xfId="2" applyNumberFormat="1" applyFont="1" applyBorder="1" applyAlignment="1">
      <alignment horizontal="left" vertical="top" wrapText="1"/>
    </xf>
    <xf numFmtId="9" fontId="4" fillId="3" borderId="5" xfId="2" applyNumberFormat="1" applyFont="1" applyFill="1" applyBorder="1" applyAlignment="1">
      <alignment horizontal="left" vertical="top" wrapText="1"/>
    </xf>
    <xf numFmtId="0" fontId="27" fillId="0" borderId="34" xfId="2" applyFont="1" applyBorder="1" applyAlignment="1">
      <alignment horizontal="left" vertical="top" wrapText="1"/>
    </xf>
    <xf numFmtId="9" fontId="9" fillId="0" borderId="6" xfId="0" applyNumberFormat="1" applyFont="1" applyBorder="1" applyAlignment="1">
      <alignment horizontal="left" vertical="top" wrapText="1"/>
    </xf>
    <xf numFmtId="9" fontId="9" fillId="0" borderId="36" xfId="0" applyNumberFormat="1" applyFont="1" applyBorder="1" applyAlignment="1">
      <alignment horizontal="left" vertical="top" wrapText="1"/>
    </xf>
    <xf numFmtId="9" fontId="5" fillId="0" borderId="1" xfId="0" applyNumberFormat="1" applyFont="1" applyBorder="1" applyAlignment="1">
      <alignment horizontal="left" vertical="top" wrapText="1"/>
    </xf>
    <xf numFmtId="0" fontId="5" fillId="3" borderId="1" xfId="0" applyFont="1" applyFill="1" applyBorder="1" applyAlignment="1" applyProtection="1">
      <alignment horizontal="left" vertical="top" wrapText="1"/>
      <protection locked="0"/>
    </xf>
    <xf numFmtId="9" fontId="5" fillId="3" borderId="1" xfId="0" applyNumberFormat="1" applyFont="1" applyFill="1" applyBorder="1" applyAlignment="1" applyProtection="1">
      <alignment horizontal="left" vertical="top" wrapText="1"/>
      <protection locked="0"/>
    </xf>
    <xf numFmtId="9" fontId="8" fillId="0" borderId="6" xfId="0" applyNumberFormat="1" applyFont="1" applyBorder="1" applyAlignment="1">
      <alignment horizontal="left" vertical="top" wrapText="1"/>
    </xf>
    <xf numFmtId="0" fontId="27" fillId="0" borderId="3" xfId="2" applyFont="1" applyBorder="1" applyAlignment="1">
      <alignment horizontal="left" vertical="top" wrapText="1"/>
    </xf>
    <xf numFmtId="9" fontId="9" fillId="0" borderId="1" xfId="0" applyNumberFormat="1" applyFont="1" applyBorder="1" applyAlignment="1">
      <alignment horizontal="left" vertical="top" wrapText="1"/>
    </xf>
    <xf numFmtId="9" fontId="9" fillId="0" borderId="8" xfId="0" applyNumberFormat="1" applyFont="1" applyBorder="1" applyAlignment="1">
      <alignment horizontal="left" vertical="top" wrapText="1"/>
    </xf>
    <xf numFmtId="9" fontId="8" fillId="0" borderId="1" xfId="0" applyNumberFormat="1" applyFont="1" applyBorder="1" applyAlignment="1">
      <alignment horizontal="left" vertical="top" wrapText="1"/>
    </xf>
    <xf numFmtId="0" fontId="9" fillId="0" borderId="0" xfId="0" applyFont="1" applyAlignment="1">
      <alignment horizontal="left" vertical="top" wrapText="1"/>
    </xf>
    <xf numFmtId="0" fontId="27" fillId="0" borderId="27" xfId="2" applyFont="1" applyBorder="1" applyAlignment="1">
      <alignment horizontal="left" vertical="top" wrapText="1"/>
    </xf>
    <xf numFmtId="9" fontId="9" fillId="0" borderId="28" xfId="0" applyNumberFormat="1" applyFont="1" applyBorder="1" applyAlignment="1">
      <alignment horizontal="left" vertical="top" wrapText="1"/>
    </xf>
    <xf numFmtId="9" fontId="9" fillId="0" borderId="37" xfId="0" applyNumberFormat="1" applyFont="1" applyBorder="1" applyAlignment="1">
      <alignment horizontal="left" vertical="top" wrapText="1"/>
    </xf>
    <xf numFmtId="0" fontId="5" fillId="0" borderId="28" xfId="2" applyFont="1" applyBorder="1" applyAlignment="1">
      <alignment horizontal="left" vertical="top" wrapText="1"/>
    </xf>
    <xf numFmtId="9" fontId="8" fillId="0" borderId="28" xfId="0" applyNumberFormat="1" applyFont="1" applyBorder="1" applyAlignment="1">
      <alignment horizontal="left" vertical="top" wrapText="1"/>
    </xf>
    <xf numFmtId="9" fontId="9" fillId="0" borderId="69" xfId="0" applyNumberFormat="1" applyFont="1" applyBorder="1" applyAlignment="1">
      <alignment horizontal="left" vertical="top" wrapText="1"/>
    </xf>
    <xf numFmtId="0" fontId="5" fillId="0" borderId="4" xfId="2" applyFont="1" applyBorder="1" applyAlignment="1">
      <alignment horizontal="left" vertical="top" wrapText="1"/>
    </xf>
    <xf numFmtId="9" fontId="9" fillId="0" borderId="0" xfId="0" applyNumberFormat="1" applyFont="1" applyAlignment="1">
      <alignment horizontal="left" vertical="top" wrapText="1"/>
    </xf>
    <xf numFmtId="9" fontId="9" fillId="0" borderId="7" xfId="0" applyNumberFormat="1" applyFont="1" applyBorder="1" applyAlignment="1">
      <alignment horizontal="left" vertical="top" wrapText="1"/>
    </xf>
    <xf numFmtId="0" fontId="27" fillId="0" borderId="70" xfId="2" applyFont="1" applyBorder="1" applyAlignment="1">
      <alignment horizontal="left" vertical="top" wrapText="1"/>
    </xf>
    <xf numFmtId="9" fontId="9" fillId="0" borderId="64" xfId="0" applyNumberFormat="1" applyFont="1" applyBorder="1" applyAlignment="1">
      <alignment horizontal="left" vertical="top" wrapText="1"/>
    </xf>
    <xf numFmtId="9" fontId="9" fillId="0" borderId="72" xfId="0" applyNumberFormat="1" applyFont="1" applyBorder="1" applyAlignment="1">
      <alignment horizontal="left" vertical="top" wrapText="1"/>
    </xf>
    <xf numFmtId="0" fontId="27" fillId="0" borderId="24" xfId="2" applyFont="1" applyBorder="1" applyAlignment="1">
      <alignment horizontal="left" vertical="top" wrapText="1"/>
    </xf>
    <xf numFmtId="9" fontId="9" fillId="0" borderId="4" xfId="0" applyNumberFormat="1" applyFont="1" applyBorder="1" applyAlignment="1">
      <alignment horizontal="left" vertical="top" wrapText="1"/>
    </xf>
    <xf numFmtId="9" fontId="9" fillId="0" borderId="11" xfId="0" applyNumberFormat="1" applyFont="1" applyBorder="1" applyAlignment="1">
      <alignment horizontal="left" vertical="top" wrapText="1"/>
    </xf>
    <xf numFmtId="0" fontId="26" fillId="0" borderId="5" xfId="2" applyFont="1" applyBorder="1" applyAlignment="1">
      <alignment horizontal="left" vertical="top"/>
    </xf>
    <xf numFmtId="0" fontId="26" fillId="2" borderId="5" xfId="2" applyFont="1" applyFill="1" applyBorder="1" applyAlignment="1">
      <alignment horizontal="left" vertical="top" wrapText="1"/>
    </xf>
    <xf numFmtId="9" fontId="27" fillId="0" borderId="0" xfId="2" applyNumberFormat="1" applyFont="1" applyAlignment="1">
      <alignment horizontal="left" vertical="top"/>
    </xf>
    <xf numFmtId="0" fontId="27" fillId="0" borderId="0" xfId="2" applyFont="1" applyAlignment="1">
      <alignment horizontal="left" vertical="top"/>
    </xf>
    <xf numFmtId="49" fontId="27" fillId="0" borderId="0" xfId="2" applyNumberFormat="1" applyFont="1" applyAlignment="1">
      <alignment horizontal="left" vertical="top"/>
    </xf>
    <xf numFmtId="0" fontId="26" fillId="0" borderId="4" xfId="2" applyFont="1" applyBorder="1" applyAlignment="1">
      <alignment horizontal="left" vertical="top"/>
    </xf>
    <xf numFmtId="9" fontId="26" fillId="0" borderId="0" xfId="2" applyNumberFormat="1" applyFont="1" applyAlignment="1">
      <alignment horizontal="left" vertical="top"/>
    </xf>
    <xf numFmtId="9" fontId="36" fillId="0" borderId="0" xfId="2" applyNumberFormat="1" applyFont="1" applyAlignment="1">
      <alignment horizontal="left" vertical="top"/>
    </xf>
    <xf numFmtId="9" fontId="27" fillId="2" borderId="0" xfId="2" applyNumberFormat="1" applyFont="1" applyFill="1" applyAlignment="1">
      <alignment horizontal="left" vertical="top" wrapText="1"/>
    </xf>
    <xf numFmtId="0" fontId="26" fillId="0" borderId="64" xfId="2" applyFont="1" applyBorder="1" applyAlignment="1">
      <alignment horizontal="left" vertical="top" wrapText="1"/>
    </xf>
    <xf numFmtId="0" fontId="26" fillId="0" borderId="42" xfId="2" applyFont="1" applyBorder="1" applyAlignment="1">
      <alignment horizontal="left" vertical="top" wrapText="1"/>
    </xf>
    <xf numFmtId="0" fontId="26" fillId="0" borderId="20" xfId="2" applyFont="1" applyBorder="1" applyAlignment="1">
      <alignment horizontal="left" vertical="top" wrapText="1"/>
    </xf>
    <xf numFmtId="9" fontId="26" fillId="0" borderId="20" xfId="2" applyNumberFormat="1" applyFont="1" applyBorder="1" applyAlignment="1">
      <alignment horizontal="left" vertical="top" wrapText="1"/>
    </xf>
    <xf numFmtId="9" fontId="26" fillId="0" borderId="64" xfId="2" applyNumberFormat="1" applyFont="1" applyBorder="1" applyAlignment="1">
      <alignment horizontal="left" vertical="top" wrapText="1"/>
    </xf>
    <xf numFmtId="0" fontId="26" fillId="3" borderId="5" xfId="2" applyFont="1" applyFill="1" applyBorder="1" applyAlignment="1">
      <alignment horizontal="left" vertical="top" wrapText="1"/>
    </xf>
    <xf numFmtId="0" fontId="26" fillId="0" borderId="11" xfId="2" applyFont="1" applyBorder="1" applyAlignment="1">
      <alignment horizontal="left" vertical="top" wrapText="1"/>
    </xf>
    <xf numFmtId="0" fontId="26" fillId="0" borderId="9" xfId="2" applyFont="1" applyBorder="1" applyAlignment="1">
      <alignment horizontal="left" vertical="top" wrapText="1"/>
    </xf>
    <xf numFmtId="0" fontId="26" fillId="0" borderId="60" xfId="2" applyFont="1" applyBorder="1" applyAlignment="1">
      <alignment horizontal="left" vertical="top" wrapText="1"/>
    </xf>
    <xf numFmtId="9" fontId="26" fillId="0" borderId="66" xfId="2" applyNumberFormat="1" applyFont="1" applyBorder="1" applyAlignment="1">
      <alignment horizontal="left" vertical="top" wrapText="1"/>
    </xf>
    <xf numFmtId="9" fontId="26" fillId="0" borderId="65" xfId="2" applyNumberFormat="1" applyFont="1" applyBorder="1" applyAlignment="1">
      <alignment horizontal="left" vertical="top" wrapText="1"/>
    </xf>
    <xf numFmtId="0" fontId="26" fillId="3" borderId="7" xfId="2" applyFont="1" applyFill="1" applyBorder="1" applyAlignment="1">
      <alignment horizontal="left" vertical="top" wrapText="1"/>
    </xf>
    <xf numFmtId="9" fontId="26" fillId="0" borderId="10" xfId="2" applyNumberFormat="1" applyFont="1" applyBorder="1" applyAlignment="1">
      <alignment horizontal="left" vertical="top" wrapText="1"/>
    </xf>
    <xf numFmtId="9" fontId="26" fillId="0" borderId="19" xfId="2" applyNumberFormat="1" applyFont="1" applyBorder="1" applyAlignment="1">
      <alignment horizontal="left" vertical="top" wrapText="1"/>
    </xf>
    <xf numFmtId="9" fontId="26" fillId="0" borderId="8" xfId="2" applyNumberFormat="1" applyFont="1" applyBorder="1" applyAlignment="1">
      <alignment horizontal="left" vertical="top" wrapText="1"/>
    </xf>
    <xf numFmtId="9" fontId="26" fillId="0" borderId="60" xfId="2" applyNumberFormat="1" applyFont="1" applyBorder="1" applyAlignment="1">
      <alignment horizontal="left" vertical="top" wrapText="1"/>
    </xf>
    <xf numFmtId="9" fontId="26" fillId="0" borderId="11" xfId="2" applyNumberFormat="1" applyFont="1" applyBorder="1" applyAlignment="1">
      <alignment horizontal="left" vertical="top" wrapText="1"/>
    </xf>
    <xf numFmtId="0" fontId="26" fillId="3" borderId="4" xfId="2" applyFont="1" applyFill="1" applyBorder="1" applyAlignment="1">
      <alignment horizontal="left" vertical="top" wrapText="1"/>
    </xf>
    <xf numFmtId="0" fontId="26" fillId="0" borderId="5" xfId="2" applyFont="1" applyBorder="1" applyAlignment="1">
      <alignment horizontal="left" vertical="top" wrapText="1"/>
    </xf>
    <xf numFmtId="0" fontId="26" fillId="0" borderId="5" xfId="2" applyFont="1" applyBorder="1" applyAlignment="1">
      <alignment horizontal="left" vertical="top" wrapText="1"/>
    </xf>
    <xf numFmtId="9" fontId="26" fillId="0" borderId="5" xfId="2" applyNumberFormat="1" applyFont="1" applyBorder="1" applyAlignment="1">
      <alignment horizontal="left" vertical="top" wrapText="1"/>
    </xf>
    <xf numFmtId="9" fontId="26" fillId="3" borderId="5" xfId="2" applyNumberFormat="1" applyFont="1" applyFill="1" applyBorder="1" applyAlignment="1">
      <alignment horizontal="left" vertical="top" wrapText="1"/>
    </xf>
    <xf numFmtId="0" fontId="27" fillId="3" borderId="71" xfId="2" applyFont="1" applyFill="1" applyBorder="1" applyAlignment="1" applyProtection="1">
      <alignment horizontal="left" vertical="top" wrapText="1"/>
      <protection locked="0"/>
    </xf>
    <xf numFmtId="0" fontId="27" fillId="3" borderId="6" xfId="2" applyFont="1" applyFill="1" applyBorder="1" applyAlignment="1" applyProtection="1">
      <alignment horizontal="left" vertical="top" wrapText="1"/>
      <protection locked="0"/>
    </xf>
    <xf numFmtId="9" fontId="27" fillId="3" borderId="1" xfId="0" applyNumberFormat="1" applyFont="1" applyFill="1" applyBorder="1" applyAlignment="1">
      <alignment horizontal="left" vertical="top" wrapText="1"/>
    </xf>
    <xf numFmtId="9" fontId="27" fillId="0" borderId="1" xfId="0" applyNumberFormat="1" applyFont="1" applyBorder="1" applyAlignment="1">
      <alignment horizontal="left" vertical="top" wrapText="1"/>
    </xf>
    <xf numFmtId="0" fontId="27" fillId="3" borderId="1" xfId="0" applyFont="1" applyFill="1" applyBorder="1" applyAlignment="1" applyProtection="1">
      <alignment horizontal="left" vertical="top" wrapText="1"/>
      <protection locked="0"/>
    </xf>
    <xf numFmtId="9" fontId="27" fillId="3" borderId="1" xfId="0" applyNumberFormat="1" applyFont="1" applyFill="1" applyBorder="1" applyAlignment="1" applyProtection="1">
      <alignment horizontal="left" vertical="top" wrapText="1"/>
      <protection locked="0"/>
    </xf>
    <xf numFmtId="0" fontId="27" fillId="3" borderId="19" xfId="2" applyFont="1" applyFill="1" applyBorder="1" applyAlignment="1" applyProtection="1">
      <alignment horizontal="left" vertical="top" wrapText="1"/>
      <protection locked="0"/>
    </xf>
    <xf numFmtId="0" fontId="27" fillId="3" borderId="38" xfId="2" applyFont="1" applyFill="1" applyBorder="1" applyAlignment="1" applyProtection="1">
      <alignment horizontal="left" vertical="top" wrapText="1"/>
      <protection locked="0"/>
    </xf>
    <xf numFmtId="0" fontId="27" fillId="3" borderId="28" xfId="2" applyFont="1" applyFill="1" applyBorder="1" applyAlignment="1" applyProtection="1">
      <alignment horizontal="left" vertical="top" wrapText="1"/>
      <protection locked="0"/>
    </xf>
    <xf numFmtId="0" fontId="27" fillId="0" borderId="4" xfId="2" applyFont="1" applyBorder="1" applyAlignment="1">
      <alignment horizontal="left" vertical="top" wrapText="1"/>
    </xf>
    <xf numFmtId="0" fontId="27" fillId="3" borderId="20" xfId="2" applyFont="1" applyFill="1" applyBorder="1" applyAlignment="1" applyProtection="1">
      <alignment horizontal="left" vertical="top" wrapText="1"/>
      <protection locked="0"/>
    </xf>
    <xf numFmtId="0" fontId="27" fillId="3" borderId="5" xfId="2" applyFont="1" applyFill="1" applyBorder="1" applyAlignment="1" applyProtection="1">
      <alignment horizontal="left" vertical="top" wrapText="1"/>
      <protection locked="0"/>
    </xf>
    <xf numFmtId="0" fontId="27" fillId="3" borderId="60" xfId="2" applyFont="1" applyFill="1" applyBorder="1" applyAlignment="1" applyProtection="1">
      <alignment horizontal="left" vertical="top" wrapText="1"/>
      <protection locked="0"/>
    </xf>
    <xf numFmtId="0" fontId="27" fillId="3" borderId="4" xfId="2" applyFont="1" applyFill="1" applyBorder="1" applyAlignment="1" applyProtection="1">
      <alignment horizontal="left" vertical="top" wrapText="1"/>
      <protection locked="0"/>
    </xf>
    <xf numFmtId="14" fontId="26" fillId="0" borderId="0" xfId="0" applyNumberFormat="1" applyFont="1" applyAlignment="1">
      <alignment horizontal="left" vertical="top" wrapText="1"/>
    </xf>
    <xf numFmtId="0" fontId="26" fillId="4" borderId="0" xfId="2" applyFont="1" applyFill="1" applyAlignment="1">
      <alignment horizontal="left" vertical="top"/>
    </xf>
    <xf numFmtId="0" fontId="26" fillId="2" borderId="21" xfId="2" applyFont="1" applyFill="1" applyBorder="1" applyAlignment="1">
      <alignment horizontal="left" vertical="top"/>
    </xf>
    <xf numFmtId="0" fontId="26" fillId="2" borderId="22" xfId="2" applyFont="1" applyFill="1" applyBorder="1" applyAlignment="1">
      <alignment horizontal="left" vertical="top"/>
    </xf>
    <xf numFmtId="0" fontId="26" fillId="2" borderId="23" xfId="2" applyFont="1" applyFill="1" applyBorder="1" applyAlignment="1">
      <alignment horizontal="left" vertical="top"/>
    </xf>
    <xf numFmtId="0" fontId="27" fillId="2" borderId="18" xfId="2" applyFont="1" applyFill="1" applyBorder="1" applyAlignment="1">
      <alignment horizontal="left" vertical="top"/>
    </xf>
    <xf numFmtId="0" fontId="27" fillId="2" borderId="17" xfId="2" applyFont="1" applyFill="1" applyBorder="1" applyAlignment="1">
      <alignment horizontal="left" vertical="top"/>
    </xf>
    <xf numFmtId="0" fontId="26" fillId="0" borderId="36" xfId="2" applyFont="1" applyBorder="1" applyAlignment="1">
      <alignment horizontal="left" vertical="top" wrapText="1"/>
    </xf>
    <xf numFmtId="0" fontId="26" fillId="0" borderId="31" xfId="2" applyFont="1" applyBorder="1" applyAlignment="1">
      <alignment horizontal="left" vertical="top" wrapText="1"/>
    </xf>
    <xf numFmtId="0" fontId="26" fillId="0" borderId="32" xfId="2" applyFont="1" applyBorder="1" applyAlignment="1">
      <alignment horizontal="left" vertical="top" wrapText="1"/>
    </xf>
    <xf numFmtId="0" fontId="27" fillId="0" borderId="18" xfId="2" applyFont="1" applyBorder="1" applyAlignment="1">
      <alignment horizontal="left" vertical="top" wrapText="1"/>
    </xf>
    <xf numFmtId="0" fontId="27" fillId="0" borderId="17" xfId="2" applyFont="1" applyBorder="1" applyAlignment="1">
      <alignment horizontal="left" vertical="top" wrapText="1"/>
    </xf>
    <xf numFmtId="0" fontId="26" fillId="0" borderId="6" xfId="2" applyFont="1" applyBorder="1" applyAlignment="1">
      <alignment horizontal="left" vertical="top" wrapText="1"/>
    </xf>
    <xf numFmtId="0" fontId="26" fillId="0" borderId="25" xfId="2" applyFont="1" applyBorder="1" applyAlignment="1">
      <alignment horizontal="left" vertical="top" wrapText="1"/>
    </xf>
    <xf numFmtId="0" fontId="27" fillId="0" borderId="15" xfId="2" applyFont="1" applyBorder="1" applyAlignment="1">
      <alignment horizontal="left" vertical="top" wrapText="1"/>
    </xf>
    <xf numFmtId="9" fontId="27" fillId="0" borderId="1" xfId="2" applyNumberFormat="1" applyFont="1" applyBorder="1" applyAlignment="1">
      <alignment horizontal="left" vertical="top" wrapText="1"/>
    </xf>
    <xf numFmtId="9" fontId="27" fillId="0" borderId="26" xfId="2" applyNumberFormat="1" applyFont="1" applyBorder="1" applyAlignment="1">
      <alignment horizontal="left" vertical="top" wrapText="1"/>
    </xf>
    <xf numFmtId="0" fontId="29" fillId="0" borderId="0" xfId="2" applyFont="1" applyAlignment="1">
      <alignment horizontal="left" vertical="top" wrapText="1"/>
    </xf>
    <xf numFmtId="0" fontId="30" fillId="0" borderId="1" xfId="0" applyFont="1" applyBorder="1" applyAlignment="1">
      <alignment horizontal="left" vertical="top" wrapText="1"/>
    </xf>
    <xf numFmtId="0" fontId="30" fillId="0" borderId="26" xfId="0" applyFont="1" applyBorder="1" applyAlignment="1">
      <alignment horizontal="left" vertical="top" wrapText="1"/>
    </xf>
    <xf numFmtId="0" fontId="27" fillId="0" borderId="1" xfId="0" applyFont="1" applyBorder="1" applyAlignment="1">
      <alignment horizontal="left" vertical="top" wrapText="1"/>
    </xf>
    <xf numFmtId="0" fontId="27" fillId="0" borderId="26" xfId="0" applyFont="1" applyBorder="1" applyAlignment="1">
      <alignment horizontal="left" vertical="top" wrapText="1"/>
    </xf>
    <xf numFmtId="0" fontId="31" fillId="0" borderId="0" xfId="3" applyFont="1" applyAlignment="1">
      <alignment horizontal="left" vertical="top"/>
    </xf>
    <xf numFmtId="9" fontId="27" fillId="0" borderId="4" xfId="2" applyNumberFormat="1" applyFont="1" applyBorder="1" applyAlignment="1">
      <alignment horizontal="left" vertical="top" wrapText="1"/>
    </xf>
    <xf numFmtId="9" fontId="9" fillId="0" borderId="4" xfId="0" applyNumberFormat="1" applyFont="1" applyBorder="1" applyAlignment="1">
      <alignment horizontal="left" vertical="top" wrapText="1"/>
    </xf>
    <xf numFmtId="0" fontId="26" fillId="0" borderId="3" xfId="2" applyFont="1" applyBorder="1" applyAlignment="1">
      <alignment horizontal="left" vertical="top" textRotation="90" wrapText="1"/>
    </xf>
    <xf numFmtId="0" fontId="32" fillId="9" borderId="1" xfId="0" applyFont="1" applyFill="1" applyBorder="1" applyAlignment="1">
      <alignment horizontal="left" vertical="top" wrapText="1"/>
    </xf>
    <xf numFmtId="0" fontId="27" fillId="7" borderId="26" xfId="0" applyFont="1" applyFill="1" applyBorder="1" applyAlignment="1">
      <alignment horizontal="left" vertical="top" wrapText="1"/>
    </xf>
    <xf numFmtId="0" fontId="26" fillId="0" borderId="39" xfId="2" applyFont="1" applyBorder="1" applyAlignment="1">
      <alignment horizontal="left" vertical="top" textRotation="90" wrapText="1"/>
    </xf>
    <xf numFmtId="9" fontId="27" fillId="0" borderId="3" xfId="2" applyNumberFormat="1" applyFont="1" applyBorder="1" applyAlignment="1">
      <alignment horizontal="left" vertical="top" wrapText="1"/>
    </xf>
    <xf numFmtId="0" fontId="32" fillId="10" borderId="1" xfId="0" applyFont="1" applyFill="1" applyBorder="1" applyAlignment="1">
      <alignment horizontal="left" vertical="top" wrapText="1"/>
    </xf>
    <xf numFmtId="0" fontId="26" fillId="0" borderId="73" xfId="2" applyFont="1" applyBorder="1" applyAlignment="1">
      <alignment horizontal="left" vertical="top" textRotation="90" wrapText="1"/>
    </xf>
    <xf numFmtId="0" fontId="33" fillId="0" borderId="0" xfId="3" applyFont="1" applyAlignment="1">
      <alignment horizontal="left" vertical="top" textRotation="90" wrapText="1"/>
    </xf>
    <xf numFmtId="0" fontId="34" fillId="0" borderId="0" xfId="3" applyFont="1" applyAlignment="1">
      <alignment horizontal="left" vertical="top" wrapText="1"/>
    </xf>
    <xf numFmtId="0" fontId="31" fillId="0" borderId="0" xfId="3" applyFont="1" applyAlignment="1">
      <alignment horizontal="left" vertical="top" wrapText="1"/>
    </xf>
    <xf numFmtId="0" fontId="32" fillId="6" borderId="1" xfId="0" applyFont="1" applyFill="1" applyBorder="1" applyAlignment="1">
      <alignment horizontal="left" vertical="top" wrapText="1"/>
    </xf>
    <xf numFmtId="0" fontId="26" fillId="0" borderId="27" xfId="2" applyFont="1" applyBorder="1" applyAlignment="1">
      <alignment horizontal="left" vertical="top" textRotation="90" wrapText="1"/>
    </xf>
    <xf numFmtId="0" fontId="30" fillId="0" borderId="28" xfId="0" applyFont="1" applyBorder="1" applyAlignment="1">
      <alignment horizontal="left" vertical="top" wrapText="1"/>
    </xf>
    <xf numFmtId="0" fontId="32" fillId="6" borderId="28" xfId="0" applyFont="1" applyFill="1" applyBorder="1" applyAlignment="1">
      <alignment horizontal="left" vertical="top" wrapText="1"/>
    </xf>
    <xf numFmtId="0" fontId="32" fillId="10" borderId="28" xfId="0" applyFont="1" applyFill="1" applyBorder="1" applyAlignment="1">
      <alignment horizontal="left" vertical="top" wrapText="1"/>
    </xf>
    <xf numFmtId="0" fontId="32" fillId="9" borderId="28" xfId="0" applyFont="1" applyFill="1" applyBorder="1" applyAlignment="1">
      <alignment horizontal="left" vertical="top" wrapText="1"/>
    </xf>
    <xf numFmtId="0" fontId="27" fillId="7" borderId="29" xfId="0" applyFont="1" applyFill="1" applyBorder="1" applyAlignment="1">
      <alignment horizontal="left" vertical="top" wrapText="1"/>
    </xf>
    <xf numFmtId="0" fontId="26" fillId="0" borderId="33" xfId="2" applyFont="1" applyBorder="1" applyAlignment="1">
      <alignment horizontal="left" vertical="top" textRotation="90" wrapText="1"/>
    </xf>
    <xf numFmtId="9" fontId="27" fillId="0" borderId="27" xfId="2" applyNumberFormat="1" applyFont="1" applyBorder="1" applyAlignment="1">
      <alignment horizontal="left" vertical="top" wrapText="1"/>
    </xf>
    <xf numFmtId="0" fontId="27" fillId="0" borderId="28" xfId="0" applyFont="1" applyBorder="1" applyAlignment="1">
      <alignment horizontal="left" vertical="top" wrapText="1"/>
    </xf>
    <xf numFmtId="0" fontId="27" fillId="7" borderId="1" xfId="0" applyFont="1" applyFill="1" applyBorder="1" applyAlignment="1">
      <alignment horizontal="left" vertical="top" wrapText="1"/>
    </xf>
    <xf numFmtId="0" fontId="29" fillId="0" borderId="0" xfId="0" applyFont="1" applyAlignment="1">
      <alignment horizontal="left" vertical="top"/>
    </xf>
    <xf numFmtId="0" fontId="35" fillId="0" borderId="0" xfId="3" applyFont="1" applyAlignment="1">
      <alignment horizontal="left" vertical="top"/>
    </xf>
    <xf numFmtId="0" fontId="27" fillId="0" borderId="0" xfId="0" applyFont="1" applyAlignment="1">
      <alignment horizontal="left" vertical="top"/>
    </xf>
    <xf numFmtId="0" fontId="27" fillId="0" borderId="0" xfId="3" applyFont="1" applyAlignment="1">
      <alignment horizontal="left" vertical="top"/>
    </xf>
    <xf numFmtId="0" fontId="26" fillId="2" borderId="18" xfId="2" applyFont="1" applyFill="1" applyBorder="1" applyAlignment="1">
      <alignment horizontal="left" vertical="top"/>
    </xf>
    <xf numFmtId="0" fontId="26" fillId="2" borderId="17" xfId="2" applyFont="1" applyFill="1" applyBorder="1" applyAlignment="1">
      <alignment horizontal="left" vertical="top"/>
    </xf>
    <xf numFmtId="0" fontId="26" fillId="2" borderId="16" xfId="2" applyFont="1" applyFill="1" applyBorder="1" applyAlignment="1">
      <alignment horizontal="left" vertical="top"/>
    </xf>
    <xf numFmtId="0" fontId="26" fillId="0" borderId="8" xfId="2" applyFont="1" applyBorder="1" applyAlignment="1">
      <alignment horizontal="left" vertical="top" textRotation="90" wrapText="1"/>
    </xf>
    <xf numFmtId="0" fontId="9" fillId="4" borderId="15" xfId="0" applyFont="1" applyFill="1" applyBorder="1" applyAlignment="1">
      <alignment horizontal="left" vertical="top" wrapText="1"/>
    </xf>
    <xf numFmtId="0" fontId="9" fillId="4" borderId="0" xfId="0" applyFont="1" applyFill="1" applyAlignment="1">
      <alignment horizontal="left" vertical="top" wrapText="1"/>
    </xf>
    <xf numFmtId="0" fontId="9" fillId="4" borderId="2" xfId="0" applyFont="1" applyFill="1" applyBorder="1" applyAlignment="1">
      <alignment horizontal="left" vertical="top" wrapText="1"/>
    </xf>
    <xf numFmtId="0" fontId="9" fillId="4" borderId="14" xfId="0" applyFont="1" applyFill="1" applyBorder="1" applyAlignment="1">
      <alignment horizontal="left" vertical="top" wrapText="1"/>
    </xf>
    <xf numFmtId="0" fontId="9" fillId="4" borderId="13" xfId="0" applyFont="1" applyFill="1" applyBorder="1" applyAlignment="1">
      <alignment horizontal="left" vertical="top" wrapText="1"/>
    </xf>
    <xf numFmtId="0" fontId="9" fillId="4" borderId="12" xfId="0" applyFont="1" applyFill="1" applyBorder="1" applyAlignment="1">
      <alignment horizontal="left" vertical="top" wrapText="1"/>
    </xf>
    <xf numFmtId="0" fontId="26" fillId="4" borderId="0" xfId="2" applyFont="1" applyFill="1" applyAlignment="1">
      <alignment horizontal="left" vertical="top" wrapText="1"/>
    </xf>
    <xf numFmtId="0" fontId="9" fillId="0" borderId="0" xfId="0" applyFont="1" applyAlignment="1">
      <alignment horizontal="left" vertical="top"/>
    </xf>
    <xf numFmtId="0" fontId="9" fillId="4" borderId="18" xfId="0" applyFont="1" applyFill="1" applyBorder="1" applyAlignment="1">
      <alignment horizontal="left" vertical="top" wrapText="1"/>
    </xf>
    <xf numFmtId="0" fontId="9" fillId="4" borderId="17" xfId="0" applyFont="1" applyFill="1" applyBorder="1" applyAlignment="1">
      <alignment horizontal="left" vertical="top" wrapText="1"/>
    </xf>
    <xf numFmtId="0" fontId="9" fillId="4" borderId="16" xfId="0" applyFont="1" applyFill="1" applyBorder="1" applyAlignment="1">
      <alignment horizontal="left" vertical="top" wrapText="1"/>
    </xf>
    <xf numFmtId="0" fontId="9" fillId="4" borderId="0" xfId="0" applyFont="1" applyFill="1" applyAlignment="1">
      <alignment horizontal="left" vertical="top" wrapText="1"/>
    </xf>
    <xf numFmtId="14" fontId="27" fillId="2" borderId="1" xfId="2" applyNumberFormat="1" applyFont="1" applyFill="1" applyBorder="1" applyAlignment="1" applyProtection="1">
      <alignment horizontal="left" vertical="top"/>
      <protection locked="0"/>
    </xf>
    <xf numFmtId="14" fontId="8" fillId="5" borderId="1" xfId="0" applyNumberFormat="1" applyFont="1" applyFill="1" applyBorder="1" applyAlignment="1">
      <alignment horizontal="left" vertical="top"/>
    </xf>
    <xf numFmtId="0" fontId="8" fillId="5" borderId="1" xfId="0" applyFont="1" applyFill="1" applyBorder="1" applyAlignment="1">
      <alignment horizontal="left" vertical="top"/>
    </xf>
    <xf numFmtId="14" fontId="27" fillId="0" borderId="1" xfId="0" applyNumberFormat="1"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14" fontId="27" fillId="0" borderId="1" xfId="0" applyNumberFormat="1" applyFont="1" applyBorder="1" applyAlignment="1" applyProtection="1">
      <alignment horizontal="left" vertical="top"/>
      <protection locked="0"/>
    </xf>
    <xf numFmtId="14" fontId="27" fillId="0" borderId="0" xfId="0" applyNumberFormat="1" applyFont="1" applyAlignment="1" applyProtection="1">
      <alignment horizontal="left" vertical="top"/>
      <protection locked="0"/>
    </xf>
    <xf numFmtId="0" fontId="27" fillId="0" borderId="0" xfId="0" applyFont="1" applyAlignment="1" applyProtection="1">
      <alignment horizontal="left" vertical="top"/>
      <protection locked="0"/>
    </xf>
    <xf numFmtId="14" fontId="9" fillId="0" borderId="0" xfId="0" applyNumberFormat="1" applyFont="1" applyAlignment="1">
      <alignment horizontal="left" vertical="top"/>
    </xf>
    <xf numFmtId="0" fontId="26" fillId="0" borderId="4" xfId="2" applyFont="1" applyBorder="1" applyAlignment="1">
      <alignment horizontal="left" vertical="top" wrapText="1"/>
    </xf>
    <xf numFmtId="0" fontId="26" fillId="4" borderId="21" xfId="0" applyFont="1" applyFill="1" applyBorder="1" applyAlignment="1">
      <alignment horizontal="left" vertical="top" wrapText="1"/>
    </xf>
    <xf numFmtId="0" fontId="26" fillId="4" borderId="22" xfId="0" applyFont="1" applyFill="1" applyBorder="1" applyAlignment="1">
      <alignment horizontal="left" vertical="top" wrapText="1"/>
    </xf>
    <xf numFmtId="0" fontId="26" fillId="4" borderId="23" xfId="0" applyFont="1" applyFill="1" applyBorder="1" applyAlignment="1">
      <alignment horizontal="left" vertical="top" wrapText="1"/>
    </xf>
    <xf numFmtId="0" fontId="8" fillId="0" borderId="8" xfId="0" applyFont="1" applyBorder="1" applyAlignment="1">
      <alignment horizontal="left" vertical="top" wrapText="1"/>
    </xf>
    <xf numFmtId="0" fontId="8" fillId="0" borderId="19" xfId="0" applyFont="1" applyBorder="1" applyAlignment="1">
      <alignment horizontal="left" vertical="top" wrapText="1"/>
    </xf>
    <xf numFmtId="0" fontId="8" fillId="0" borderId="1" xfId="0" applyFont="1" applyBorder="1" applyAlignment="1">
      <alignment horizontal="left" vertical="top" wrapText="1"/>
    </xf>
    <xf numFmtId="0" fontId="8" fillId="0" borderId="0" xfId="0" applyFont="1" applyAlignment="1">
      <alignment horizontal="left" vertical="top" wrapText="1"/>
    </xf>
    <xf numFmtId="0" fontId="26" fillId="19" borderId="74" xfId="2" applyFont="1" applyFill="1" applyBorder="1" applyAlignment="1">
      <alignment horizontal="left" vertical="top" wrapText="1"/>
    </xf>
    <xf numFmtId="0" fontId="26" fillId="20" borderId="74" xfId="2" applyFont="1" applyFill="1" applyBorder="1" applyAlignment="1">
      <alignment horizontal="left" vertical="top" wrapText="1"/>
    </xf>
    <xf numFmtId="0" fontId="28" fillId="21" borderId="74" xfId="2" applyFont="1" applyFill="1" applyBorder="1" applyAlignment="1">
      <alignment horizontal="left" vertical="top" wrapText="1"/>
    </xf>
    <xf numFmtId="0" fontId="26" fillId="0" borderId="61" xfId="2" applyFont="1" applyBorder="1" applyAlignment="1">
      <alignment horizontal="left" vertical="top" textRotation="90" wrapText="1"/>
    </xf>
    <xf numFmtId="0" fontId="26" fillId="0" borderId="62" xfId="2" applyFont="1" applyBorder="1" applyAlignment="1">
      <alignment horizontal="left" vertical="top" textRotation="90" wrapText="1"/>
    </xf>
    <xf numFmtId="0" fontId="27" fillId="2" borderId="1" xfId="2" applyFont="1" applyFill="1" applyBorder="1" applyAlignment="1">
      <alignment horizontal="left" vertical="top" wrapText="1"/>
    </xf>
    <xf numFmtId="0" fontId="26" fillId="6" borderId="74" xfId="2" applyFont="1" applyFill="1" applyBorder="1" applyAlignment="1">
      <alignment horizontal="left" vertical="top" wrapText="1"/>
    </xf>
    <xf numFmtId="0" fontId="26" fillId="2" borderId="21" xfId="2" applyFont="1" applyFill="1" applyBorder="1" applyAlignment="1">
      <alignment horizontal="left" vertical="top" wrapText="1"/>
    </xf>
    <xf numFmtId="0" fontId="26" fillId="2" borderId="22" xfId="2" applyFont="1" applyFill="1" applyBorder="1" applyAlignment="1">
      <alignment horizontal="left" vertical="top" wrapText="1"/>
    </xf>
    <xf numFmtId="0" fontId="26" fillId="2" borderId="23" xfId="2" applyFont="1" applyFill="1" applyBorder="1" applyAlignment="1">
      <alignment horizontal="left" vertical="top" wrapText="1"/>
    </xf>
    <xf numFmtId="0" fontId="27" fillId="2" borderId="18" xfId="2" applyFont="1" applyFill="1" applyBorder="1" applyAlignment="1">
      <alignment horizontal="left" vertical="top" wrapText="1"/>
    </xf>
    <xf numFmtId="0" fontId="27" fillId="2" borderId="17" xfId="2" applyFont="1" applyFill="1" applyBorder="1" applyAlignment="1">
      <alignment horizontal="left" vertical="top" wrapText="1"/>
    </xf>
    <xf numFmtId="0" fontId="29" fillId="0" borderId="0" xfId="0" applyFont="1" applyAlignment="1">
      <alignment horizontal="left" vertical="top" wrapText="1"/>
    </xf>
    <xf numFmtId="0" fontId="35" fillId="0" borderId="0" xfId="3" applyFont="1" applyAlignment="1">
      <alignment horizontal="left" vertical="top" wrapText="1"/>
    </xf>
    <xf numFmtId="0" fontId="27" fillId="0" borderId="0" xfId="0" applyFont="1" applyAlignment="1">
      <alignment horizontal="left" vertical="top" wrapText="1"/>
    </xf>
    <xf numFmtId="0" fontId="27" fillId="0" borderId="0" xfId="3" applyFont="1" applyAlignment="1">
      <alignment horizontal="left" vertical="top" wrapText="1"/>
    </xf>
    <xf numFmtId="0" fontId="38" fillId="4" borderId="41" xfId="4" quotePrefix="1" applyFont="1" applyFill="1" applyBorder="1" applyAlignment="1">
      <alignment horizontal="left" vertical="top" wrapText="1"/>
    </xf>
    <xf numFmtId="0" fontId="26" fillId="4" borderId="42" xfId="4" quotePrefix="1" applyFont="1" applyFill="1" applyBorder="1" applyAlignment="1">
      <alignment horizontal="left" vertical="top" wrapText="1"/>
    </xf>
    <xf numFmtId="0" fontId="26" fillId="4" borderId="43" xfId="4" quotePrefix="1" applyFont="1" applyFill="1" applyBorder="1" applyAlignment="1">
      <alignment horizontal="left" vertical="top" wrapText="1"/>
    </xf>
    <xf numFmtId="0" fontId="27" fillId="4" borderId="41" xfId="4" quotePrefix="1" applyFont="1" applyFill="1" applyBorder="1" applyAlignment="1">
      <alignment horizontal="left" vertical="top" wrapText="1"/>
    </xf>
    <xf numFmtId="0" fontId="27" fillId="4" borderId="42" xfId="4" quotePrefix="1" applyFont="1" applyFill="1" applyBorder="1" applyAlignment="1">
      <alignment horizontal="left" vertical="top" wrapText="1"/>
    </xf>
    <xf numFmtId="0" fontId="27" fillId="4" borderId="43" xfId="4" quotePrefix="1" applyFont="1" applyFill="1" applyBorder="1" applyAlignment="1">
      <alignment horizontal="left" vertical="top" wrapText="1"/>
    </xf>
    <xf numFmtId="0" fontId="27" fillId="3" borderId="41" xfId="4" quotePrefix="1" applyFont="1" applyFill="1" applyBorder="1" applyAlignment="1">
      <alignment horizontal="left" vertical="top" wrapText="1"/>
    </xf>
    <xf numFmtId="0" fontId="27" fillId="3" borderId="42" xfId="4" quotePrefix="1" applyFont="1" applyFill="1" applyBorder="1" applyAlignment="1">
      <alignment horizontal="left" vertical="top" wrapText="1"/>
    </xf>
    <xf numFmtId="0" fontId="27" fillId="3" borderId="43" xfId="4" quotePrefix="1" applyFont="1" applyFill="1" applyBorder="1" applyAlignment="1">
      <alignment horizontal="left" vertical="top" wrapText="1"/>
    </xf>
    <xf numFmtId="0" fontId="38" fillId="4" borderId="42" xfId="4" quotePrefix="1" applyFont="1" applyFill="1" applyBorder="1" applyAlignment="1">
      <alignment horizontal="left" vertical="top" wrapText="1"/>
    </xf>
    <xf numFmtId="0" fontId="38" fillId="4" borderId="43" xfId="4" quotePrefix="1" applyFont="1" applyFill="1" applyBorder="1" applyAlignment="1">
      <alignment horizontal="left" vertical="top" wrapText="1"/>
    </xf>
    <xf numFmtId="0" fontId="38" fillId="4" borderId="41" xfId="4" quotePrefix="1" applyFont="1" applyFill="1" applyBorder="1" applyAlignment="1">
      <alignment horizontal="left" vertical="top" wrapText="1"/>
    </xf>
    <xf numFmtId="0" fontId="38" fillId="4" borderId="42" xfId="4" quotePrefix="1" applyFont="1" applyFill="1" applyBorder="1" applyAlignment="1">
      <alignment horizontal="left" vertical="top" wrapText="1"/>
    </xf>
    <xf numFmtId="0" fontId="38" fillId="4" borderId="43" xfId="4" quotePrefix="1" applyFont="1" applyFill="1" applyBorder="1" applyAlignment="1">
      <alignment horizontal="left" vertical="top" wrapText="1"/>
    </xf>
    <xf numFmtId="0" fontId="38" fillId="4" borderId="15" xfId="4" quotePrefix="1" applyFont="1" applyFill="1" applyBorder="1" applyAlignment="1">
      <alignment horizontal="left" vertical="top" wrapText="1"/>
    </xf>
    <xf numFmtId="0" fontId="38" fillId="4" borderId="0" xfId="4" quotePrefix="1" applyFont="1" applyFill="1" applyAlignment="1">
      <alignment horizontal="left" vertical="top" wrapText="1"/>
    </xf>
    <xf numFmtId="0" fontId="38" fillId="4" borderId="2" xfId="4" quotePrefix="1" applyFont="1" applyFill="1" applyBorder="1" applyAlignment="1">
      <alignment horizontal="left" vertical="top" wrapText="1"/>
    </xf>
    <xf numFmtId="0" fontId="38" fillId="4" borderId="3" xfId="4" quotePrefix="1" applyFont="1" applyFill="1" applyBorder="1" applyAlignment="1">
      <alignment horizontal="left" vertical="top" wrapText="1"/>
    </xf>
    <xf numFmtId="0" fontId="38" fillId="4" borderId="1" xfId="4" quotePrefix="1" applyFont="1" applyFill="1" applyBorder="1" applyAlignment="1">
      <alignment horizontal="left" vertical="top" wrapText="1"/>
    </xf>
    <xf numFmtId="0" fontId="38" fillId="4" borderId="26" xfId="4" quotePrefix="1" applyFont="1" applyFill="1" applyBorder="1" applyAlignment="1">
      <alignment horizontal="left" vertical="top" wrapText="1"/>
    </xf>
    <xf numFmtId="0" fontId="38" fillId="4" borderId="15" xfId="4" quotePrefix="1" applyFont="1" applyFill="1" applyBorder="1" applyAlignment="1">
      <alignment horizontal="left" vertical="top" wrapText="1"/>
    </xf>
    <xf numFmtId="0" fontId="38" fillId="4" borderId="0" xfId="4" quotePrefix="1" applyFont="1" applyFill="1" applyAlignment="1">
      <alignment horizontal="left" vertical="top" wrapText="1"/>
    </xf>
    <xf numFmtId="0" fontId="38" fillId="4" borderId="2" xfId="4" quotePrefix="1" applyFont="1" applyFill="1" applyBorder="1" applyAlignment="1">
      <alignment horizontal="left" vertical="top" wrapText="1"/>
    </xf>
    <xf numFmtId="0" fontId="38" fillId="4" borderId="61" xfId="4" quotePrefix="1" applyFont="1" applyFill="1" applyBorder="1" applyAlignment="1">
      <alignment horizontal="left" vertical="top" wrapText="1"/>
    </xf>
    <xf numFmtId="0" fontId="38" fillId="4" borderId="10" xfId="4" quotePrefix="1" applyFont="1" applyFill="1" applyBorder="1" applyAlignment="1">
      <alignment horizontal="left" vertical="top" wrapText="1"/>
    </xf>
    <xf numFmtId="0" fontId="38" fillId="4" borderId="63" xfId="4" quotePrefix="1" applyFont="1" applyFill="1" applyBorder="1" applyAlignment="1">
      <alignment horizontal="left" vertical="top" wrapText="1"/>
    </xf>
    <xf numFmtId="0" fontId="38" fillId="4" borderId="61" xfId="4" quotePrefix="1" applyFont="1" applyFill="1" applyBorder="1" applyAlignment="1">
      <alignment horizontal="left" vertical="top" wrapText="1"/>
    </xf>
    <xf numFmtId="0" fontId="38" fillId="4" borderId="10" xfId="4" quotePrefix="1" applyFont="1" applyFill="1" applyBorder="1" applyAlignment="1">
      <alignment horizontal="left" vertical="top" wrapText="1"/>
    </xf>
    <xf numFmtId="0" fontId="38" fillId="4" borderId="63" xfId="4" quotePrefix="1" applyFont="1" applyFill="1" applyBorder="1" applyAlignment="1">
      <alignment horizontal="left" vertical="top" wrapText="1"/>
    </xf>
    <xf numFmtId="0" fontId="26" fillId="4" borderId="50" xfId="5" applyFont="1" applyFill="1" applyBorder="1" applyAlignment="1">
      <alignment horizontal="left" vertical="top" wrapText="1"/>
    </xf>
    <xf numFmtId="0" fontId="26" fillId="4" borderId="51" xfId="5" applyFont="1" applyFill="1" applyBorder="1" applyAlignment="1">
      <alignment horizontal="left" vertical="top" wrapText="1"/>
    </xf>
    <xf numFmtId="0" fontId="26" fillId="4" borderId="54" xfId="0" applyFont="1" applyFill="1" applyBorder="1" applyAlignment="1">
      <alignment horizontal="left" vertical="top" wrapText="1"/>
    </xf>
    <xf numFmtId="0" fontId="26" fillId="4" borderId="55" xfId="0" applyFont="1" applyFill="1" applyBorder="1" applyAlignment="1">
      <alignment horizontal="left" vertical="top" wrapText="1"/>
    </xf>
    <xf numFmtId="0" fontId="26" fillId="4" borderId="42" xfId="5" applyFont="1" applyFill="1" applyBorder="1" applyAlignment="1">
      <alignment horizontal="left" vertical="top" wrapText="1"/>
    </xf>
    <xf numFmtId="0" fontId="26" fillId="4" borderId="58" xfId="0" applyFont="1" applyFill="1" applyBorder="1" applyAlignment="1">
      <alignment horizontal="left" vertical="top" wrapText="1"/>
    </xf>
    <xf numFmtId="0" fontId="26" fillId="4" borderId="59" xfId="0" applyFont="1" applyFill="1" applyBorder="1" applyAlignment="1">
      <alignment horizontal="left" vertical="top" wrapText="1"/>
    </xf>
    <xf numFmtId="0" fontId="26" fillId="18" borderId="30" xfId="4" applyFont="1" applyFill="1" applyBorder="1" applyAlignment="1">
      <alignment horizontal="left" vertical="top" wrapText="1"/>
    </xf>
    <xf numFmtId="0" fontId="26" fillId="18" borderId="31" xfId="4" applyFont="1" applyFill="1" applyBorder="1" applyAlignment="1">
      <alignment horizontal="left" vertical="top" wrapText="1"/>
    </xf>
    <xf numFmtId="0" fontId="26" fillId="18" borderId="32" xfId="4" applyFont="1" applyFill="1" applyBorder="1" applyAlignment="1">
      <alignment horizontal="left" vertical="top" wrapText="1"/>
    </xf>
    <xf numFmtId="0" fontId="27" fillId="4" borderId="41" xfId="4" applyFont="1" applyFill="1" applyBorder="1" applyAlignment="1">
      <alignment horizontal="left" vertical="top" wrapText="1"/>
    </xf>
    <xf numFmtId="0" fontId="27" fillId="4" borderId="42" xfId="4" applyFont="1" applyFill="1" applyBorder="1" applyAlignment="1">
      <alignment horizontal="left" vertical="top" wrapText="1"/>
    </xf>
    <xf numFmtId="0" fontId="27" fillId="4" borderId="43" xfId="4" applyFont="1" applyFill="1" applyBorder="1" applyAlignment="1">
      <alignment horizontal="left" vertical="top" wrapText="1"/>
    </xf>
    <xf numFmtId="0" fontId="27" fillId="0" borderId="15" xfId="4" quotePrefix="1" applyFont="1" applyBorder="1" applyAlignment="1">
      <alignment horizontal="left" vertical="top" wrapText="1"/>
    </xf>
    <xf numFmtId="0" fontId="27" fillId="0" borderId="0" xfId="4" quotePrefix="1" applyFont="1" applyAlignment="1">
      <alignment horizontal="left" vertical="top" wrapText="1"/>
    </xf>
    <xf numFmtId="0" fontId="27" fillId="0" borderId="2" xfId="4" quotePrefix="1" applyFont="1" applyBorder="1" applyAlignment="1">
      <alignment horizontal="left" vertical="top" wrapText="1"/>
    </xf>
    <xf numFmtId="0" fontId="27" fillId="0" borderId="44" xfId="4" quotePrefix="1" applyFont="1" applyBorder="1" applyAlignment="1">
      <alignment horizontal="left" vertical="top" wrapText="1"/>
    </xf>
    <xf numFmtId="0" fontId="27" fillId="0" borderId="9" xfId="4" quotePrefix="1" applyFont="1" applyBorder="1" applyAlignment="1">
      <alignment horizontal="left" vertical="top" wrapText="1"/>
    </xf>
    <xf numFmtId="0" fontId="27" fillId="0" borderId="45" xfId="4" quotePrefix="1" applyFont="1" applyBorder="1" applyAlignment="1">
      <alignment horizontal="left" vertical="top" wrapText="1"/>
    </xf>
    <xf numFmtId="0" fontId="27" fillId="4" borderId="44" xfId="4" quotePrefix="1" applyFont="1" applyFill="1" applyBorder="1" applyAlignment="1">
      <alignment horizontal="left" vertical="top" wrapText="1"/>
    </xf>
    <xf numFmtId="0" fontId="27" fillId="4" borderId="9" xfId="4" quotePrefix="1" applyFont="1" applyFill="1" applyBorder="1" applyAlignment="1">
      <alignment horizontal="left" vertical="top" wrapText="1"/>
    </xf>
    <xf numFmtId="0" fontId="27" fillId="4" borderId="45" xfId="4" quotePrefix="1" applyFont="1" applyFill="1" applyBorder="1" applyAlignment="1">
      <alignment horizontal="left" vertical="top" wrapText="1"/>
    </xf>
    <xf numFmtId="0" fontId="27" fillId="0" borderId="61" xfId="4" quotePrefix="1" applyFont="1" applyBorder="1" applyAlignment="1">
      <alignment horizontal="left" vertical="top" wrapText="1"/>
    </xf>
    <xf numFmtId="0" fontId="27" fillId="0" borderId="10" xfId="4" quotePrefix="1" applyFont="1" applyBorder="1" applyAlignment="1">
      <alignment horizontal="left" vertical="top" wrapText="1"/>
    </xf>
    <xf numFmtId="0" fontId="27" fillId="0" borderId="63" xfId="4" quotePrefix="1" applyFont="1" applyBorder="1" applyAlignment="1">
      <alignment horizontal="left" vertical="top" wrapText="1"/>
    </xf>
    <xf numFmtId="0" fontId="27" fillId="4" borderId="15" xfId="4" applyFont="1" applyFill="1" applyBorder="1" applyAlignment="1">
      <alignment horizontal="left" vertical="top" wrapText="1"/>
    </xf>
    <xf numFmtId="0" fontId="26" fillId="18" borderId="46" xfId="5" applyFont="1" applyFill="1" applyBorder="1" applyAlignment="1">
      <alignment horizontal="left" vertical="top" wrapText="1"/>
    </xf>
    <xf numFmtId="0" fontId="26" fillId="18" borderId="47" xfId="5" applyFont="1" applyFill="1" applyBorder="1" applyAlignment="1">
      <alignment horizontal="left" vertical="top" wrapText="1"/>
    </xf>
    <xf numFmtId="0" fontId="26" fillId="18" borderId="48" xfId="4" applyFont="1" applyFill="1" applyBorder="1" applyAlignment="1">
      <alignment horizontal="left" vertical="top" wrapText="1"/>
    </xf>
    <xf numFmtId="0" fontId="26" fillId="18" borderId="49" xfId="4" applyFont="1" applyFill="1" applyBorder="1" applyAlignment="1">
      <alignment horizontal="left" vertical="top" wrapText="1"/>
    </xf>
    <xf numFmtId="0" fontId="27" fillId="4" borderId="0" xfId="4" applyFont="1" applyFill="1" applyAlignment="1">
      <alignment horizontal="left" vertical="top" wrapText="1"/>
    </xf>
    <xf numFmtId="0" fontId="27" fillId="4" borderId="2" xfId="4" applyFont="1" applyFill="1" applyBorder="1" applyAlignment="1">
      <alignment horizontal="left" vertical="top" wrapText="1"/>
    </xf>
    <xf numFmtId="0" fontId="27" fillId="4" borderId="52" xfId="4" applyFont="1" applyFill="1" applyBorder="1" applyAlignment="1">
      <alignment horizontal="left" vertical="top" wrapText="1"/>
    </xf>
    <xf numFmtId="0" fontId="27" fillId="4" borderId="53" xfId="4" applyFont="1" applyFill="1" applyBorder="1" applyAlignment="1">
      <alignment horizontal="left" vertical="top" wrapText="1"/>
    </xf>
    <xf numFmtId="0" fontId="27" fillId="4" borderId="56" xfId="4" applyFont="1" applyFill="1" applyBorder="1" applyAlignment="1">
      <alignment horizontal="left" vertical="top" wrapText="1"/>
    </xf>
    <xf numFmtId="0" fontId="27" fillId="4" borderId="57" xfId="4" applyFont="1" applyFill="1" applyBorder="1" applyAlignment="1">
      <alignment horizontal="left" vertical="top" wrapText="1"/>
    </xf>
    <xf numFmtId="0" fontId="26" fillId="11" borderId="46" xfId="5" applyFont="1" applyFill="1" applyBorder="1" applyAlignment="1">
      <alignment horizontal="left" vertical="top" wrapText="1"/>
    </xf>
    <xf numFmtId="0" fontId="26" fillId="11" borderId="47" xfId="5" applyFont="1" applyFill="1" applyBorder="1" applyAlignment="1">
      <alignment horizontal="left" vertical="top" wrapText="1"/>
    </xf>
    <xf numFmtId="0" fontId="26" fillId="11" borderId="48" xfId="4" applyFont="1" applyFill="1" applyBorder="1" applyAlignment="1">
      <alignment horizontal="left" vertical="top" wrapText="1"/>
    </xf>
    <xf numFmtId="0" fontId="26" fillId="11" borderId="49" xfId="4" applyFont="1" applyFill="1" applyBorder="1" applyAlignment="1">
      <alignment horizontal="left" vertical="top" wrapText="1"/>
    </xf>
    <xf numFmtId="0" fontId="27" fillId="4" borderId="14" xfId="4" applyFont="1" applyFill="1" applyBorder="1" applyAlignment="1">
      <alignment horizontal="left" vertical="top" wrapText="1"/>
    </xf>
    <xf numFmtId="0" fontId="27" fillId="4" borderId="13" xfId="4" applyFont="1" applyFill="1" applyBorder="1" applyAlignment="1">
      <alignment horizontal="left" vertical="top" wrapText="1"/>
    </xf>
    <xf numFmtId="0" fontId="27" fillId="4" borderId="12" xfId="4" applyFont="1" applyFill="1" applyBorder="1" applyAlignment="1">
      <alignment horizontal="left" vertical="top" wrapText="1"/>
    </xf>
  </cellXfs>
  <cellStyles count="7">
    <cellStyle name="Nor}al" xfId="1"/>
    <cellStyle name="Normal" xfId="0" builtinId="0"/>
    <cellStyle name="Normal - Style1 2" xfId="4"/>
    <cellStyle name="Normal 2" xfId="2"/>
    <cellStyle name="Normal 2 2" xfId="5"/>
    <cellStyle name="Normal 3" xfId="3"/>
    <cellStyle name="Porcentaje" xfId="6" builtinId="5"/>
  </cellStyles>
  <dxfs count="299">
    <dxf>
      <font>
        <strike val="0"/>
        <outline val="0"/>
        <shadow val="0"/>
        <u val="none"/>
        <vertAlign val="baseline"/>
        <sz val="12"/>
        <color auto="1"/>
        <name val="Arial"/>
        <scheme val="none"/>
      </font>
      <alignment horizontal="left" vertical="top" textRotation="0" indent="0" justifyLastLine="0" shrinkToFit="0" readingOrder="0"/>
    </dxf>
    <dxf>
      <font>
        <b/>
        <i val="0"/>
        <strike val="0"/>
        <condense val="0"/>
        <extend val="0"/>
        <outline val="0"/>
        <shadow val="0"/>
        <u val="none"/>
        <vertAlign val="baseline"/>
        <sz val="12"/>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0" formatCode="General"/>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border outline="0">
        <left style="thin">
          <color indexed="64"/>
        </left>
        <right style="thin">
          <color indexed="64"/>
        </right>
        <top style="thin">
          <color indexed="64"/>
        </top>
        <bottom style="thin">
          <color indexed="64"/>
        </bottom>
      </border>
    </dxf>
  </dxfs>
  <tableStyles count="1" defaultTableStyle="TableStyleMedium2" defaultPivotStyle="PivotStyleMedium9">
    <tableStyle name="Estilo de tabla 1" pivot="0" count="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622144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39</xdr:row>
      <xdr:rowOff>0</xdr:rowOff>
    </xdr:from>
    <xdr:to>
      <xdr:col>25</xdr:col>
      <xdr:colOff>0</xdr:colOff>
      <xdr:row>39</xdr:row>
      <xdr:rowOff>173182</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pccolombia1-my.sharepoint.com/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pccolombia1-my.sharepoint.com/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id="1" name="Tabla1" displayName="Tabla1" ref="F8:K40" totalsRowShown="0" headerRowDxfId="1" dataDxfId="0" tableBorderDxfId="298" headerRowCellStyle="Normal 2">
  <autoFilter ref="F8:K40"/>
  <tableColumns count="6">
    <tableColumn id="2" name="TIPOLOGÍA" dataDxfId="7" dataCellStyle="Normal 2"/>
    <tableColumn id="3" name="¿QUÉ? _x000a_IMPACTO" dataDxfId="6" dataCellStyle="Normal 2"/>
    <tableColumn id="4" name="¿CÓMO?_x000a_CAUSA INMEDIATA _x000a_(Iniciar con la palabra _x000a_por)" dataDxfId="5" dataCellStyle="Normal 2"/>
    <tableColumn id="5" name="¿PORQUÉ?_x000a_CAUSA RAÍZ_x000a_(Iniciar con _x000a_debido a/a causa de)" dataDxfId="4" dataCellStyle="Normal 2"/>
    <tableColumn id="6" name="DESCRIPCIÓN DEL RIESGO" dataDxfId="3">
      <calculatedColumnFormula>(CONCATENATE(Tabla1[[#This Row],[¿QUÉ? 
IMPACTO]]," ","por",Tabla1[[#This Row],[¿CÓMO?
CAUSA INMEDIATA 
(Iniciar con la palabra 
por)]]," ","a causa de"," ",Tabla1[[#This Row],[¿PORQUÉ?
CAUSA RAÍZ
(Iniciar con 
debido a/a causa de)]]))</calculatedColumnFormula>
    </tableColumn>
    <tableColumn id="1" name="SUB CAUSAS (Si aplica)" dataDxfId="2" dataCellStyle="Normal 2"/>
  </tableColumns>
  <tableStyleInfo showFirstColumn="0" showLastColumn="0" showRowStripes="1" showColumnStripes="0"/>
</table>
</file>

<file path=xl/tables/table2.xml><?xml version="1.0" encoding="utf-8"?>
<table xmlns="http://schemas.openxmlformats.org/spreadsheetml/2006/main" id="6" name="Tabla6" displayName="Tabla6" ref="A31:E35" totalsRowShown="0" headerRowDxfId="297" dataDxfId="296">
  <autoFilter ref="A31:E35"/>
  <tableColumns count="5">
    <tableColumn id="1" name="Gestión" dataDxfId="295"/>
    <tableColumn id="2" name="Fiscal" dataDxfId="294"/>
    <tableColumn id="3" name="Seguridad_Información" dataDxfId="293"/>
    <tableColumn id="4" name="Integridad_Pública_Corrupción" dataDxfId="292"/>
    <tableColumn id="5" name="Integridad_Pública_LA_FT_FP" dataDxfId="291"/>
  </tableColumns>
  <tableStyleInfo name="TableStyleLight9" showFirstColumn="0" showLastColumn="0" showRowStripes="1" showColumnStripes="0"/>
</table>
</file>

<file path=xl/tables/table3.xml><?xml version="1.0" encoding="utf-8"?>
<table xmlns="http://schemas.openxmlformats.org/spreadsheetml/2006/main" id="2" name="Tabla2" displayName="Tabla2" ref="A38:F47" totalsRowShown="0" headerRowDxfId="290" dataDxfId="289">
  <autoFilter ref="A38:F47"/>
  <tableColumns count="6">
    <tableColumn id="1" name="Ejecución_administración_de_procesos" dataDxfId="288"/>
    <tableColumn id="2" name="Transacción_u_Operación_aplica_para_LA_FT_FP" dataDxfId="287"/>
    <tableColumn id="3" name="Talento_Humano" dataDxfId="286"/>
    <tableColumn id="4" name="Tecnología" dataDxfId="285"/>
    <tableColumn id="5" name="Infraestructura" dataDxfId="284"/>
    <tableColumn id="6" name="Evento_externo" dataDxfId="283"/>
  </tableColumns>
  <tableStyleInfo name="TableStyleLight16" showFirstColumn="0" showLastColumn="0" showRowStripes="1" showColumnStripes="0"/>
</table>
</file>

<file path=xl/tables/table4.xml><?xml version="1.0" encoding="utf-8"?>
<table xmlns="http://schemas.openxmlformats.org/spreadsheetml/2006/main" id="3" name="Tabla3" displayName="Tabla3" ref="H37:I43" totalsRowShown="0" headerRowDxfId="282" dataDxfId="281">
  <autoFilter ref="H37:I43"/>
  <tableColumns count="2">
    <tableColumn id="1" name="FACTOR DE RIESGO" dataDxfId="280"/>
    <tableColumn id="2" name="Descripción" dataDxfId="279"/>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vmlDrawing" Target="../drawings/vmlDrawing15.v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vmlDrawing" Target="../drawings/vmlDrawing13.v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9"/>
  <sheetViews>
    <sheetView tabSelected="1" topLeftCell="A8" zoomScale="70" zoomScaleNormal="70" workbookViewId="0">
      <selection activeCell="C80" sqref="C80"/>
    </sheetView>
  </sheetViews>
  <sheetFormatPr baseColWidth="10" defaultColWidth="0" defaultRowHeight="15" zeroHeight="1" x14ac:dyDescent="0.25"/>
  <cols>
    <col min="1" max="1" width="2.85546875" style="365" customWidth="1"/>
    <col min="2" max="3" width="24.42578125" style="365" customWidth="1"/>
    <col min="4" max="4" width="16" style="365" customWidth="1"/>
    <col min="5" max="5" width="24.42578125" style="365" customWidth="1"/>
    <col min="6" max="6" width="27.42578125" style="365" customWidth="1"/>
    <col min="7" max="8" width="24.42578125" style="365" customWidth="1"/>
    <col min="9" max="9" width="4.42578125" style="365" customWidth="1"/>
    <col min="10" max="16384" width="11.42578125" style="365" hidden="1"/>
  </cols>
  <sheetData>
    <row r="1" spans="2:8" ht="15.75" thickBot="1" x14ac:dyDescent="0.3"/>
    <row r="2" spans="2:8" ht="15.75" x14ac:dyDescent="0.25">
      <c r="B2" s="435" t="s">
        <v>0</v>
      </c>
      <c r="C2" s="436"/>
      <c r="D2" s="436"/>
      <c r="E2" s="436"/>
      <c r="F2" s="436"/>
      <c r="G2" s="436"/>
      <c r="H2" s="437"/>
    </row>
    <row r="3" spans="2:8" x14ac:dyDescent="0.25">
      <c r="B3" s="438"/>
      <c r="C3" s="439"/>
      <c r="D3" s="439"/>
      <c r="E3" s="439"/>
      <c r="F3" s="439"/>
      <c r="G3" s="439"/>
      <c r="H3" s="440"/>
    </row>
    <row r="4" spans="2:8" ht="63" customHeight="1" x14ac:dyDescent="0.25">
      <c r="B4" s="441" t="s">
        <v>540</v>
      </c>
      <c r="C4" s="442"/>
      <c r="D4" s="442"/>
      <c r="E4" s="442"/>
      <c r="F4" s="442"/>
      <c r="G4" s="442"/>
      <c r="H4" s="443"/>
    </row>
    <row r="5" spans="2:8" ht="114.75" customHeight="1" x14ac:dyDescent="0.25">
      <c r="B5" s="444"/>
      <c r="C5" s="445"/>
      <c r="D5" s="445"/>
      <c r="E5" s="445"/>
      <c r="F5" s="445"/>
      <c r="G5" s="445"/>
      <c r="H5" s="446"/>
    </row>
    <row r="6" spans="2:8" ht="15.75" x14ac:dyDescent="0.25">
      <c r="B6" s="399" t="s">
        <v>1</v>
      </c>
      <c r="C6" s="400"/>
      <c r="D6" s="400"/>
      <c r="E6" s="400"/>
      <c r="F6" s="400"/>
      <c r="G6" s="400"/>
      <c r="H6" s="401"/>
    </row>
    <row r="7" spans="2:8" ht="165.75" customHeight="1" x14ac:dyDescent="0.25">
      <c r="B7" s="447" t="s">
        <v>541</v>
      </c>
      <c r="C7" s="448"/>
      <c r="D7" s="448"/>
      <c r="E7" s="448"/>
      <c r="F7" s="448"/>
      <c r="G7" s="448"/>
      <c r="H7" s="449"/>
    </row>
    <row r="8" spans="2:8" x14ac:dyDescent="0.25">
      <c r="B8" s="402"/>
      <c r="C8" s="403"/>
      <c r="D8" s="403"/>
      <c r="E8" s="403"/>
      <c r="F8" s="403"/>
      <c r="G8" s="403"/>
      <c r="H8" s="404"/>
    </row>
    <row r="9" spans="2:8" ht="30.75" customHeight="1" x14ac:dyDescent="0.25">
      <c r="B9" s="405" t="s">
        <v>2</v>
      </c>
      <c r="C9" s="406"/>
      <c r="D9" s="406"/>
      <c r="E9" s="406"/>
      <c r="F9" s="406"/>
      <c r="G9" s="406"/>
      <c r="H9" s="407"/>
    </row>
    <row r="10" spans="2:8" s="239" customFormat="1" ht="20.45" customHeight="1" x14ac:dyDescent="0.25">
      <c r="B10" s="450"/>
      <c r="C10" s="451"/>
      <c r="D10" s="451"/>
      <c r="E10" s="451"/>
      <c r="F10" s="451"/>
      <c r="G10" s="451"/>
      <c r="H10" s="452"/>
    </row>
    <row r="11" spans="2:8" ht="20.45" customHeight="1" x14ac:dyDescent="0.25">
      <c r="B11" s="399" t="s">
        <v>3</v>
      </c>
      <c r="C11" s="408"/>
      <c r="D11" s="408"/>
      <c r="E11" s="408"/>
      <c r="F11" s="408"/>
      <c r="G11" s="408"/>
      <c r="H11" s="409"/>
    </row>
    <row r="12" spans="2:8" ht="9" customHeight="1" x14ac:dyDescent="0.25">
      <c r="B12" s="399"/>
      <c r="C12" s="408"/>
      <c r="D12" s="408"/>
      <c r="E12" s="408"/>
      <c r="F12" s="408"/>
      <c r="G12" s="408"/>
      <c r="H12" s="409"/>
    </row>
    <row r="13" spans="2:8" ht="15.75" x14ac:dyDescent="0.25">
      <c r="B13" s="399" t="s">
        <v>4</v>
      </c>
      <c r="C13" s="408"/>
      <c r="D13" s="408"/>
      <c r="E13" s="408"/>
      <c r="F13" s="408"/>
      <c r="G13" s="408"/>
      <c r="H13" s="409"/>
    </row>
    <row r="14" spans="2:8" ht="15.75" x14ac:dyDescent="0.25">
      <c r="B14" s="410"/>
      <c r="C14" s="411"/>
      <c r="D14" s="411"/>
      <c r="E14" s="411"/>
      <c r="F14" s="411"/>
      <c r="G14" s="411"/>
      <c r="H14" s="412"/>
    </row>
    <row r="15" spans="2:8" ht="18.75" customHeight="1" x14ac:dyDescent="0.25">
      <c r="B15" s="399" t="s">
        <v>542</v>
      </c>
      <c r="C15" s="408"/>
      <c r="D15" s="408"/>
      <c r="E15" s="408"/>
      <c r="F15" s="408"/>
      <c r="G15" s="408"/>
      <c r="H15" s="409"/>
    </row>
    <row r="16" spans="2:8" ht="18.75" customHeight="1" x14ac:dyDescent="0.25">
      <c r="B16" s="410"/>
      <c r="C16" s="411"/>
      <c r="D16" s="411"/>
      <c r="E16" s="411"/>
      <c r="F16" s="411"/>
      <c r="G16" s="411"/>
      <c r="H16" s="412"/>
    </row>
    <row r="17" spans="2:8" ht="18.75" customHeight="1" x14ac:dyDescent="0.25">
      <c r="B17" s="399" t="s">
        <v>543</v>
      </c>
      <c r="C17" s="408"/>
      <c r="D17" s="408"/>
      <c r="E17" s="408"/>
      <c r="F17" s="408"/>
      <c r="G17" s="408"/>
      <c r="H17" s="409"/>
    </row>
    <row r="18" spans="2:8" ht="18.75" customHeight="1" thickBot="1" x14ac:dyDescent="0.3">
      <c r="B18" s="413"/>
      <c r="C18" s="414"/>
      <c r="D18" s="414"/>
      <c r="E18" s="414"/>
      <c r="F18" s="414"/>
      <c r="G18" s="414"/>
      <c r="H18" s="415"/>
    </row>
    <row r="19" spans="2:8" ht="16.5" thickTop="1" x14ac:dyDescent="0.25">
      <c r="B19" s="453"/>
      <c r="C19" s="454" t="s">
        <v>5</v>
      </c>
      <c r="D19" s="455"/>
      <c r="E19" s="456" t="s">
        <v>6</v>
      </c>
      <c r="F19" s="457"/>
      <c r="G19" s="458"/>
      <c r="H19" s="459"/>
    </row>
    <row r="20" spans="2:8" ht="35.25" customHeight="1" x14ac:dyDescent="0.25">
      <c r="B20" s="453"/>
      <c r="C20" s="428" t="s">
        <v>7</v>
      </c>
      <c r="D20" s="429"/>
      <c r="E20" s="460" t="s">
        <v>8</v>
      </c>
      <c r="F20" s="461"/>
      <c r="G20" s="458"/>
      <c r="H20" s="459"/>
    </row>
    <row r="21" spans="2:8" ht="17.25" customHeight="1" x14ac:dyDescent="0.25">
      <c r="B21" s="453"/>
      <c r="C21" s="428" t="s">
        <v>9</v>
      </c>
      <c r="D21" s="429"/>
      <c r="E21" s="460" t="s">
        <v>10</v>
      </c>
      <c r="F21" s="461"/>
      <c r="G21" s="458"/>
      <c r="H21" s="459"/>
    </row>
    <row r="22" spans="2:8" ht="50.25" customHeight="1" x14ac:dyDescent="0.25">
      <c r="B22" s="453"/>
      <c r="C22" s="428" t="s">
        <v>11</v>
      </c>
      <c r="D22" s="429"/>
      <c r="E22" s="460" t="s">
        <v>12</v>
      </c>
      <c r="F22" s="461"/>
      <c r="G22" s="458"/>
      <c r="H22" s="459"/>
    </row>
    <row r="23" spans="2:8" ht="36.75" customHeight="1" x14ac:dyDescent="0.25">
      <c r="B23" s="453"/>
      <c r="C23" s="428" t="s">
        <v>13</v>
      </c>
      <c r="D23" s="429"/>
      <c r="E23" s="460" t="s">
        <v>14</v>
      </c>
      <c r="F23" s="461"/>
      <c r="G23" s="458"/>
      <c r="H23" s="459"/>
    </row>
    <row r="24" spans="2:8" ht="129" customHeight="1" x14ac:dyDescent="0.25">
      <c r="B24" s="453"/>
      <c r="C24" s="428" t="s">
        <v>15</v>
      </c>
      <c r="D24" s="429"/>
      <c r="E24" s="460" t="s">
        <v>16</v>
      </c>
      <c r="F24" s="461"/>
      <c r="G24" s="458"/>
      <c r="H24" s="459"/>
    </row>
    <row r="25" spans="2:8" ht="127.5" customHeight="1" x14ac:dyDescent="0.25">
      <c r="B25" s="453"/>
      <c r="C25" s="430" t="s">
        <v>17</v>
      </c>
      <c r="D25" s="431"/>
      <c r="E25" s="462" t="s">
        <v>18</v>
      </c>
      <c r="F25" s="463"/>
      <c r="G25" s="458"/>
      <c r="H25" s="459"/>
    </row>
    <row r="26" spans="2:8" ht="82.5" customHeight="1" x14ac:dyDescent="0.25">
      <c r="B26" s="453"/>
      <c r="C26" s="430" t="s">
        <v>19</v>
      </c>
      <c r="D26" s="431"/>
      <c r="E26" s="462" t="s">
        <v>544</v>
      </c>
      <c r="F26" s="463"/>
      <c r="G26" s="458"/>
      <c r="H26" s="459"/>
    </row>
    <row r="27" spans="2:8" ht="87" customHeight="1" x14ac:dyDescent="0.25">
      <c r="B27" s="453"/>
      <c r="C27" s="430" t="s">
        <v>20</v>
      </c>
      <c r="D27" s="431"/>
      <c r="E27" s="462" t="s">
        <v>545</v>
      </c>
      <c r="F27" s="463"/>
      <c r="G27" s="458"/>
      <c r="H27" s="459"/>
    </row>
    <row r="28" spans="2:8" ht="111.75" customHeight="1" x14ac:dyDescent="0.25">
      <c r="B28" s="453"/>
      <c r="C28" s="430" t="s">
        <v>21</v>
      </c>
      <c r="D28" s="431"/>
      <c r="E28" s="462" t="s">
        <v>546</v>
      </c>
      <c r="F28" s="463"/>
      <c r="G28" s="458"/>
      <c r="H28" s="459"/>
    </row>
    <row r="29" spans="2:8" ht="161.25" customHeight="1" x14ac:dyDescent="0.25">
      <c r="B29" s="453"/>
      <c r="C29" s="430" t="s">
        <v>22</v>
      </c>
      <c r="D29" s="431"/>
      <c r="E29" s="462" t="s">
        <v>23</v>
      </c>
      <c r="F29" s="463"/>
      <c r="G29" s="458"/>
      <c r="H29" s="459"/>
    </row>
    <row r="30" spans="2:8" ht="55.5" customHeight="1" x14ac:dyDescent="0.25">
      <c r="B30" s="453"/>
      <c r="C30" s="430" t="s">
        <v>24</v>
      </c>
      <c r="D30" s="431"/>
      <c r="E30" s="462" t="s">
        <v>25</v>
      </c>
      <c r="F30" s="463"/>
      <c r="G30" s="458"/>
      <c r="H30" s="459"/>
    </row>
    <row r="31" spans="2:8" ht="69.75" customHeight="1" x14ac:dyDescent="0.25">
      <c r="B31" s="453"/>
      <c r="C31" s="430" t="s">
        <v>26</v>
      </c>
      <c r="D31" s="431"/>
      <c r="E31" s="462" t="s">
        <v>27</v>
      </c>
      <c r="F31" s="463"/>
      <c r="G31" s="458"/>
      <c r="H31" s="459"/>
    </row>
    <row r="32" spans="2:8" ht="15.75" x14ac:dyDescent="0.25">
      <c r="B32" s="453"/>
      <c r="C32" s="432"/>
      <c r="D32" s="432"/>
      <c r="E32" s="439"/>
      <c r="F32" s="439"/>
      <c r="G32" s="458"/>
      <c r="H32" s="459"/>
    </row>
    <row r="33" spans="2:8" ht="15.75" x14ac:dyDescent="0.25">
      <c r="B33" s="399" t="s">
        <v>28</v>
      </c>
      <c r="C33" s="408"/>
      <c r="D33" s="408"/>
      <c r="E33" s="408"/>
      <c r="F33" s="408"/>
      <c r="G33" s="408"/>
      <c r="H33" s="409"/>
    </row>
    <row r="34" spans="2:8" ht="14.45" customHeight="1" thickBot="1" x14ac:dyDescent="0.3">
      <c r="B34" s="413"/>
      <c r="C34" s="414"/>
      <c r="D34" s="414"/>
      <c r="E34" s="414"/>
      <c r="F34" s="414"/>
      <c r="G34" s="414"/>
      <c r="H34" s="415"/>
    </row>
    <row r="35" spans="2:8" ht="14.45" customHeight="1" thickTop="1" x14ac:dyDescent="0.25">
      <c r="B35" s="413"/>
      <c r="C35" s="464" t="s">
        <v>5</v>
      </c>
      <c r="D35" s="465"/>
      <c r="E35" s="466" t="s">
        <v>6</v>
      </c>
      <c r="F35" s="467"/>
      <c r="G35" s="414"/>
      <c r="H35" s="415"/>
    </row>
    <row r="36" spans="2:8" ht="178.5" customHeight="1" x14ac:dyDescent="0.25">
      <c r="B36" s="413"/>
      <c r="C36" s="430" t="s">
        <v>29</v>
      </c>
      <c r="D36" s="431"/>
      <c r="E36" s="462" t="s">
        <v>547</v>
      </c>
      <c r="F36" s="463"/>
      <c r="G36" s="414"/>
      <c r="H36" s="415"/>
    </row>
    <row r="37" spans="2:8" ht="66" customHeight="1" x14ac:dyDescent="0.25">
      <c r="B37" s="413"/>
      <c r="C37" s="430" t="s">
        <v>30</v>
      </c>
      <c r="D37" s="431"/>
      <c r="E37" s="462" t="s">
        <v>31</v>
      </c>
      <c r="F37" s="463"/>
      <c r="G37" s="414"/>
      <c r="H37" s="415"/>
    </row>
    <row r="38" spans="2:8" ht="69" customHeight="1" x14ac:dyDescent="0.25">
      <c r="B38" s="413"/>
      <c r="C38" s="430" t="s">
        <v>32</v>
      </c>
      <c r="D38" s="431"/>
      <c r="E38" s="462" t="s">
        <v>33</v>
      </c>
      <c r="F38" s="463"/>
      <c r="G38" s="414"/>
      <c r="H38" s="415"/>
    </row>
    <row r="39" spans="2:8" ht="54" customHeight="1" x14ac:dyDescent="0.25">
      <c r="B39" s="413"/>
      <c r="C39" s="430" t="s">
        <v>34</v>
      </c>
      <c r="D39" s="431"/>
      <c r="E39" s="462" t="s">
        <v>35</v>
      </c>
      <c r="F39" s="463"/>
      <c r="G39" s="414"/>
      <c r="H39" s="415"/>
    </row>
    <row r="40" spans="2:8" ht="15.75" x14ac:dyDescent="0.25">
      <c r="B40" s="413"/>
      <c r="C40" s="414"/>
      <c r="D40" s="414"/>
      <c r="E40" s="414"/>
      <c r="F40" s="414"/>
      <c r="G40" s="414"/>
      <c r="H40" s="415"/>
    </row>
    <row r="41" spans="2:8" ht="39" customHeight="1" x14ac:dyDescent="0.25">
      <c r="B41" s="416" t="s">
        <v>548</v>
      </c>
      <c r="C41" s="417"/>
      <c r="D41" s="417"/>
      <c r="E41" s="417"/>
      <c r="F41" s="417"/>
      <c r="G41" s="417"/>
      <c r="H41" s="418"/>
    </row>
    <row r="42" spans="2:8" ht="18.75" customHeight="1" x14ac:dyDescent="0.25">
      <c r="B42" s="410"/>
      <c r="C42" s="411"/>
      <c r="D42" s="411"/>
      <c r="E42" s="411"/>
      <c r="F42" s="411"/>
      <c r="G42" s="411"/>
      <c r="H42" s="412"/>
    </row>
    <row r="43" spans="2:8" ht="65.25" customHeight="1" x14ac:dyDescent="0.25">
      <c r="B43" s="399" t="s">
        <v>549</v>
      </c>
      <c r="C43" s="408"/>
      <c r="D43" s="408"/>
      <c r="E43" s="408"/>
      <c r="F43" s="408"/>
      <c r="G43" s="408"/>
      <c r="H43" s="409"/>
    </row>
    <row r="44" spans="2:8" ht="18.75" customHeight="1" thickBot="1" x14ac:dyDescent="0.3">
      <c r="B44" s="413"/>
      <c r="C44" s="414"/>
      <c r="D44" s="414"/>
      <c r="E44" s="414"/>
      <c r="F44" s="414"/>
      <c r="G44" s="414"/>
      <c r="H44" s="415"/>
    </row>
    <row r="45" spans="2:8" ht="18.75" customHeight="1" thickTop="1" x14ac:dyDescent="0.25">
      <c r="B45" s="413"/>
      <c r="C45" s="464" t="s">
        <v>5</v>
      </c>
      <c r="D45" s="465"/>
      <c r="E45" s="466" t="s">
        <v>6</v>
      </c>
      <c r="F45" s="467"/>
      <c r="G45" s="414"/>
      <c r="H45" s="415"/>
    </row>
    <row r="46" spans="2:8" ht="96" customHeight="1" x14ac:dyDescent="0.25">
      <c r="B46" s="413"/>
      <c r="C46" s="433" t="s">
        <v>36</v>
      </c>
      <c r="D46" s="434"/>
      <c r="E46" s="462" t="s">
        <v>550</v>
      </c>
      <c r="F46" s="463"/>
      <c r="G46" s="414"/>
      <c r="H46" s="415"/>
    </row>
    <row r="47" spans="2:8" ht="69" customHeight="1" x14ac:dyDescent="0.25">
      <c r="B47" s="413"/>
      <c r="C47" s="433" t="s">
        <v>37</v>
      </c>
      <c r="D47" s="434"/>
      <c r="E47" s="462" t="s">
        <v>38</v>
      </c>
      <c r="F47" s="463"/>
      <c r="G47" s="414"/>
      <c r="H47" s="415"/>
    </row>
    <row r="48" spans="2:8" ht="79.5" customHeight="1" x14ac:dyDescent="0.25">
      <c r="B48" s="413"/>
      <c r="C48" s="433" t="s">
        <v>39</v>
      </c>
      <c r="D48" s="434"/>
      <c r="E48" s="462" t="s">
        <v>40</v>
      </c>
      <c r="F48" s="463"/>
      <c r="G48" s="414"/>
      <c r="H48" s="415"/>
    </row>
    <row r="49" spans="2:8" ht="81" customHeight="1" x14ac:dyDescent="0.25">
      <c r="B49" s="413"/>
      <c r="C49" s="433" t="s">
        <v>41</v>
      </c>
      <c r="D49" s="434"/>
      <c r="E49" s="462" t="s">
        <v>40</v>
      </c>
      <c r="F49" s="463"/>
      <c r="G49" s="414"/>
      <c r="H49" s="415"/>
    </row>
    <row r="50" spans="2:8" ht="51.75" customHeight="1" x14ac:dyDescent="0.25">
      <c r="B50" s="413"/>
      <c r="C50" s="433" t="s">
        <v>42</v>
      </c>
      <c r="D50" s="434"/>
      <c r="E50" s="462" t="s">
        <v>43</v>
      </c>
      <c r="F50" s="463"/>
      <c r="G50" s="414"/>
      <c r="H50" s="415"/>
    </row>
    <row r="51" spans="2:8" ht="68.25" customHeight="1" x14ac:dyDescent="0.25">
      <c r="B51" s="413"/>
      <c r="C51" s="433" t="s">
        <v>44</v>
      </c>
      <c r="D51" s="434"/>
      <c r="E51" s="462" t="s">
        <v>45</v>
      </c>
      <c r="F51" s="463"/>
      <c r="G51" s="414"/>
      <c r="H51" s="415"/>
    </row>
    <row r="52" spans="2:8" ht="192.75" customHeight="1" x14ac:dyDescent="0.25">
      <c r="B52" s="413"/>
      <c r="C52" s="433" t="s">
        <v>46</v>
      </c>
      <c r="D52" s="434"/>
      <c r="E52" s="462" t="s">
        <v>551</v>
      </c>
      <c r="F52" s="463"/>
      <c r="G52" s="414"/>
      <c r="H52" s="415"/>
    </row>
    <row r="53" spans="2:8" ht="36.75" customHeight="1" x14ac:dyDescent="0.25">
      <c r="B53" s="413"/>
      <c r="C53" s="433" t="s">
        <v>47</v>
      </c>
      <c r="D53" s="434"/>
      <c r="E53" s="462" t="s">
        <v>48</v>
      </c>
      <c r="F53" s="463"/>
      <c r="G53" s="414"/>
      <c r="H53" s="415"/>
    </row>
    <row r="54" spans="2:8" ht="98.25" customHeight="1" x14ac:dyDescent="0.25">
      <c r="B54" s="413"/>
      <c r="C54" s="433" t="s">
        <v>49</v>
      </c>
      <c r="D54" s="434"/>
      <c r="E54" s="462" t="s">
        <v>50</v>
      </c>
      <c r="F54" s="463"/>
      <c r="G54" s="414"/>
      <c r="H54" s="415"/>
    </row>
    <row r="55" spans="2:8" ht="95.25" customHeight="1" x14ac:dyDescent="0.25">
      <c r="B55" s="413"/>
      <c r="C55" s="433" t="s">
        <v>51</v>
      </c>
      <c r="D55" s="434"/>
      <c r="E55" s="462" t="s">
        <v>52</v>
      </c>
      <c r="F55" s="463"/>
      <c r="G55" s="414"/>
      <c r="H55" s="415"/>
    </row>
    <row r="56" spans="2:8" ht="18.75" customHeight="1" x14ac:dyDescent="0.25">
      <c r="B56" s="413"/>
      <c r="C56" s="414"/>
      <c r="D56" s="414"/>
      <c r="E56" s="414"/>
      <c r="F56" s="414"/>
      <c r="G56" s="414"/>
      <c r="H56" s="415"/>
    </row>
    <row r="57" spans="2:8" ht="18.75" customHeight="1" x14ac:dyDescent="0.25">
      <c r="B57" s="419" t="s">
        <v>552</v>
      </c>
      <c r="C57" s="420"/>
      <c r="D57" s="420"/>
      <c r="E57" s="420"/>
      <c r="F57" s="420"/>
      <c r="G57" s="420"/>
      <c r="H57" s="421"/>
    </row>
    <row r="58" spans="2:8" ht="13.5" customHeight="1" x14ac:dyDescent="0.25">
      <c r="B58" s="413"/>
      <c r="C58" s="414"/>
      <c r="D58" s="414"/>
      <c r="E58" s="414"/>
      <c r="F58" s="414"/>
      <c r="G58" s="414"/>
      <c r="H58" s="415"/>
    </row>
    <row r="59" spans="2:8" ht="42.75" customHeight="1" x14ac:dyDescent="0.25">
      <c r="B59" s="422" t="s">
        <v>553</v>
      </c>
      <c r="C59" s="423"/>
      <c r="D59" s="423"/>
      <c r="E59" s="423"/>
      <c r="F59" s="423"/>
      <c r="G59" s="423"/>
      <c r="H59" s="424"/>
    </row>
    <row r="60" spans="2:8" ht="14.25" customHeight="1" x14ac:dyDescent="0.25">
      <c r="B60" s="410"/>
      <c r="C60" s="411"/>
      <c r="D60" s="411"/>
      <c r="E60" s="411"/>
      <c r="F60" s="411"/>
      <c r="G60" s="411"/>
      <c r="H60" s="412"/>
    </row>
    <row r="61" spans="2:8" ht="30" customHeight="1" x14ac:dyDescent="0.25">
      <c r="B61" s="399" t="s">
        <v>554</v>
      </c>
      <c r="C61" s="408"/>
      <c r="D61" s="408"/>
      <c r="E61" s="408"/>
      <c r="F61" s="408"/>
      <c r="G61" s="408"/>
      <c r="H61" s="409"/>
    </row>
    <row r="62" spans="2:8" ht="18.75" customHeight="1" x14ac:dyDescent="0.25">
      <c r="B62" s="422" t="s">
        <v>555</v>
      </c>
      <c r="C62" s="423"/>
      <c r="D62" s="423"/>
      <c r="E62" s="423"/>
      <c r="F62" s="423"/>
      <c r="G62" s="423"/>
      <c r="H62" s="424"/>
    </row>
    <row r="63" spans="2:8" ht="18.75" customHeight="1" x14ac:dyDescent="0.25">
      <c r="B63" s="425"/>
      <c r="C63" s="426"/>
      <c r="D63" s="426"/>
      <c r="E63" s="426"/>
      <c r="F63" s="426"/>
      <c r="G63" s="426"/>
      <c r="H63" s="427"/>
    </row>
    <row r="64" spans="2:8" ht="54.75" customHeight="1" x14ac:dyDescent="0.25">
      <c r="B64" s="422" t="s">
        <v>556</v>
      </c>
      <c r="C64" s="423"/>
      <c r="D64" s="423"/>
      <c r="E64" s="423"/>
      <c r="F64" s="423"/>
      <c r="G64" s="423"/>
      <c r="H64" s="424"/>
    </row>
    <row r="65" spans="2:8" ht="15.75" thickBot="1" x14ac:dyDescent="0.3">
      <c r="B65" s="468"/>
      <c r="C65" s="469"/>
      <c r="D65" s="469"/>
      <c r="E65" s="469"/>
      <c r="F65" s="469"/>
      <c r="G65" s="469"/>
      <c r="H65" s="470"/>
    </row>
    <row r="66" spans="2:8" x14ac:dyDescent="0.25"/>
    <row r="67" spans="2:8" x14ac:dyDescent="0.25"/>
    <row r="68" spans="2:8" x14ac:dyDescent="0.25"/>
    <row r="69" spans="2:8" x14ac:dyDescent="0.25"/>
    <row r="70" spans="2:8" x14ac:dyDescent="0.25"/>
    <row r="71" spans="2:8" x14ac:dyDescent="0.25"/>
    <row r="72" spans="2:8" x14ac:dyDescent="0.25"/>
    <row r="73" spans="2:8" x14ac:dyDescent="0.25"/>
    <row r="74" spans="2:8" x14ac:dyDescent="0.25"/>
    <row r="75" spans="2:8" x14ac:dyDescent="0.25"/>
    <row r="76" spans="2:8" x14ac:dyDescent="0.25"/>
    <row r="77" spans="2:8" x14ac:dyDescent="0.25"/>
    <row r="78" spans="2:8" x14ac:dyDescent="0.25"/>
    <row r="79" spans="2:8" x14ac:dyDescent="0.25"/>
    <row r="80" spans="2:8"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sheetData>
  <sheetProtection formatCells="0" formatColumns="0" formatRows="0"/>
  <mergeCells count="77">
    <mergeCell ref="B2:H2"/>
    <mergeCell ref="B4:H5"/>
    <mergeCell ref="B6:H6"/>
    <mergeCell ref="B7:H7"/>
    <mergeCell ref="B9:H9"/>
    <mergeCell ref="B13:H13"/>
    <mergeCell ref="B15:H15"/>
    <mergeCell ref="B11:H11"/>
    <mergeCell ref="B17:H17"/>
    <mergeCell ref="B12:H12"/>
    <mergeCell ref="C22:D22"/>
    <mergeCell ref="E22:F22"/>
    <mergeCell ref="E28:F28"/>
    <mergeCell ref="C27:D27"/>
    <mergeCell ref="E27:F27"/>
    <mergeCell ref="C26:D26"/>
    <mergeCell ref="E26:F26"/>
    <mergeCell ref="C25:D25"/>
    <mergeCell ref="C23:D23"/>
    <mergeCell ref="E23:F23"/>
    <mergeCell ref="C28:D28"/>
    <mergeCell ref="E25:F25"/>
    <mergeCell ref="C24:D24"/>
    <mergeCell ref="E24:F24"/>
    <mergeCell ref="C19:D19"/>
    <mergeCell ref="E19:F19"/>
    <mergeCell ref="C20:D20"/>
    <mergeCell ref="E20:F20"/>
    <mergeCell ref="C21:D21"/>
    <mergeCell ref="E21:F21"/>
    <mergeCell ref="C36:D36"/>
    <mergeCell ref="E36:F36"/>
    <mergeCell ref="C35:D35"/>
    <mergeCell ref="E35:F35"/>
    <mergeCell ref="B33:H33"/>
    <mergeCell ref="C29:D29"/>
    <mergeCell ref="E29:F29"/>
    <mergeCell ref="C30:D30"/>
    <mergeCell ref="E30:F30"/>
    <mergeCell ref="C31:D31"/>
    <mergeCell ref="E31:F31"/>
    <mergeCell ref="C38:D38"/>
    <mergeCell ref="E38:F38"/>
    <mergeCell ref="C39:D39"/>
    <mergeCell ref="E39:F39"/>
    <mergeCell ref="E51:F51"/>
    <mergeCell ref="B43:H43"/>
    <mergeCell ref="C53:D53"/>
    <mergeCell ref="E53:F53"/>
    <mergeCell ref="B62:H62"/>
    <mergeCell ref="C45:D45"/>
    <mergeCell ref="E45:F45"/>
    <mergeCell ref="C46:D46"/>
    <mergeCell ref="E46:F46"/>
    <mergeCell ref="C52:D52"/>
    <mergeCell ref="E52:F52"/>
    <mergeCell ref="C47:D47"/>
    <mergeCell ref="E47:F47"/>
    <mergeCell ref="B57:H57"/>
    <mergeCell ref="B59:H59"/>
    <mergeCell ref="B61:H61"/>
    <mergeCell ref="B10:H10"/>
    <mergeCell ref="B64:H64"/>
    <mergeCell ref="C37:D37"/>
    <mergeCell ref="E37:F37"/>
    <mergeCell ref="B41:H41"/>
    <mergeCell ref="C48:D48"/>
    <mergeCell ref="E48:F48"/>
    <mergeCell ref="C49:D49"/>
    <mergeCell ref="E49:F49"/>
    <mergeCell ref="C50:D50"/>
    <mergeCell ref="E50:F50"/>
    <mergeCell ref="C54:D54"/>
    <mergeCell ref="E54:F54"/>
    <mergeCell ref="C55:D55"/>
    <mergeCell ref="E55:F55"/>
    <mergeCell ref="C51:D51"/>
  </mergeCells>
  <printOptions horizontalCentered="1" verticalCentered="1"/>
  <pageMargins left="0.78740157480314965" right="0.78740157480314965" top="0.78740157480314965" bottom="0.78740157480314965" header="0.39370078740157483" footer="0.78740157480314965"/>
  <pageSetup scale="50" orientation="portrait" r:id="rId1"/>
  <headerFooter>
    <oddHeader>&amp;L&amp;"Arial,Negrita"&amp;12
MAPA DE RIESGOS &amp;"Arial,Normal"
Código: E-FO-017 | Versión: 13 | Fecha: Enero 29 de 2026&amp;C&amp;G</oddHeader>
    <oddFooter>&amp;L&amp;"Arial,Normal"&amp;12Teléfono: (+57) 601 601 2424 | Línea gratuita: 01 8000 41 37 95 | Código postal: 110221
Dirección: Carrera 10 No. 97A - 13, Torre A, Piso 6 | Bogotá D.C., Colombia 
www.apccolombia.gov.co
Página: &amp;P/&amp;N</oddFooter>
  </headerFooter>
  <rowBreaks count="3" manualBreakCount="3">
    <brk id="25" max="7" man="1"/>
    <brk id="38" max="7" man="1"/>
    <brk id="54" max="7" man="1"/>
  </rowBreaks>
  <legacyDrawingHF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
  <sheetViews>
    <sheetView showGridLines="0" zoomScale="85" zoomScaleNormal="85" workbookViewId="0">
      <selection activeCell="F1" sqref="F1"/>
    </sheetView>
  </sheetViews>
  <sheetFormatPr baseColWidth="10" defaultColWidth="0" defaultRowHeight="15" zeroHeight="1" x14ac:dyDescent="0.25"/>
  <cols>
    <col min="1" max="1" width="30.42578125" style="239" customWidth="1"/>
    <col min="2" max="2" width="29.42578125" style="239" customWidth="1"/>
    <col min="3" max="3" width="10.85546875" style="239" customWidth="1"/>
    <col min="4" max="4" width="27.42578125" style="239" customWidth="1"/>
    <col min="5" max="5" width="10.85546875" style="239" customWidth="1"/>
    <col min="6" max="6" width="17.7109375" style="239" customWidth="1"/>
    <col min="7" max="7" width="12.7109375" style="239" customWidth="1"/>
    <col min="8" max="8" width="10.85546875" style="239" customWidth="1"/>
    <col min="9" max="9" width="13.42578125" style="239" customWidth="1"/>
    <col min="10" max="10" width="10.85546875" style="239" customWidth="1"/>
    <col min="11" max="11" width="13" style="239" customWidth="1"/>
    <col min="12" max="12" width="10.85546875" style="239" customWidth="1"/>
    <col min="13" max="16384" width="10.85546875" style="239" hidden="1"/>
  </cols>
  <sheetData>
    <row r="1" spans="1:11" s="174" customFormat="1" ht="37.5" customHeight="1" x14ac:dyDescent="0.25">
      <c r="A1" s="170"/>
      <c r="B1" s="282" t="str">
        <f>+'2 CONTEXTO E IDENTIFICACIÓN'!A1</f>
        <v>MAPA DE RIESGOS</v>
      </c>
      <c r="C1" s="78"/>
      <c r="D1" s="79"/>
      <c r="F1" s="256" t="str">
        <f>+'2 CONTEXTO E IDENTIFICACIÓN'!$I$4</f>
        <v>Elaboración o Actualización:</v>
      </c>
      <c r="G1" s="86">
        <f>'2 CONTEXTO E IDENTIFICACIÓN'!J4</f>
        <v>0</v>
      </c>
      <c r="H1" s="80"/>
      <c r="I1" s="80"/>
    </row>
    <row r="2" spans="1:11" s="174" customFormat="1" ht="37.5" customHeight="1" x14ac:dyDescent="0.25">
      <c r="A2" s="170"/>
      <c r="B2" s="375"/>
      <c r="C2" s="83" t="str">
        <f>+'2 CONTEXTO E IDENTIFICACIÓN'!A2</f>
        <v>VERSIÓN:</v>
      </c>
      <c r="D2" s="83">
        <f>'2 CONTEXTO E IDENTIFICACIÓN'!B2</f>
        <v>1</v>
      </c>
      <c r="F2" s="83" t="str">
        <f>+'2 CONTEXTO E IDENTIFICACIÓN'!$E$5</f>
        <v xml:space="preserve">Vigencia: </v>
      </c>
      <c r="G2" s="86">
        <f>'2 CONTEXTO E IDENTIFICACIÓN'!G5</f>
        <v>46023</v>
      </c>
      <c r="H2" s="94" t="s">
        <v>61</v>
      </c>
      <c r="I2" s="86">
        <f>'2 CONTEXTO E IDENTIFICACIÓN'!J5</f>
        <v>46387</v>
      </c>
    </row>
    <row r="3" spans="1:11" s="174" customFormat="1" ht="8.25" customHeight="1" x14ac:dyDescent="0.25">
      <c r="A3" s="108"/>
      <c r="B3" s="108"/>
      <c r="C3" s="108"/>
      <c r="D3" s="87"/>
      <c r="F3" s="108"/>
    </row>
    <row r="4" spans="1:11" s="81" customFormat="1" ht="36" customHeight="1" x14ac:dyDescent="0.25">
      <c r="A4" s="90" t="s">
        <v>55</v>
      </c>
      <c r="B4" s="95" t="str">
        <f>'2 CONTEXTO E IDENTIFICACIÓN'!B4</f>
        <v>AGENCIA PRESIDENCIAL DE COOPERACIÓN INTERNACIONAL DE COLOMBIA APC COLOMBIA</v>
      </c>
      <c r="C4" s="95"/>
      <c r="D4" s="95"/>
      <c r="E4" s="99"/>
      <c r="F4" s="360"/>
    </row>
    <row r="5" spans="1:11" ht="16.5" thickBot="1" x14ac:dyDescent="0.3">
      <c r="A5" s="90" t="s">
        <v>57</v>
      </c>
      <c r="B5" s="95">
        <f>'2 CONTEXTO E IDENTIFICACIÓN'!F4</f>
        <v>0</v>
      </c>
      <c r="C5" s="96"/>
      <c r="D5" s="96"/>
    </row>
    <row r="6" spans="1:11" ht="16.5" thickBot="1" x14ac:dyDescent="0.3">
      <c r="A6" s="376" t="s">
        <v>464</v>
      </c>
      <c r="B6" s="377"/>
      <c r="C6" s="377"/>
      <c r="D6" s="377"/>
      <c r="E6" s="377"/>
      <c r="F6" s="377"/>
      <c r="G6" s="377"/>
      <c r="H6" s="377"/>
      <c r="I6" s="377"/>
      <c r="J6" s="377"/>
      <c r="K6" s="378"/>
    </row>
    <row r="7" spans="1:11" ht="6" customHeight="1" thickBot="1" x14ac:dyDescent="0.3">
      <c r="A7" s="376"/>
      <c r="B7" s="377"/>
      <c r="C7" s="377"/>
      <c r="D7" s="377"/>
      <c r="E7" s="377"/>
      <c r="F7" s="377"/>
      <c r="G7" s="377"/>
      <c r="H7" s="377"/>
      <c r="I7" s="377"/>
      <c r="J7" s="377"/>
      <c r="K7" s="378"/>
    </row>
    <row r="8" spans="1:11" ht="34.5" customHeight="1" x14ac:dyDescent="0.25">
      <c r="A8" s="362" t="s">
        <v>538</v>
      </c>
      <c r="B8" s="363"/>
      <c r="C8" s="363"/>
      <c r="D8" s="363"/>
      <c r="E8" s="363"/>
      <c r="F8" s="363"/>
      <c r="G8" s="363"/>
      <c r="H8" s="363"/>
      <c r="I8" s="363"/>
      <c r="J8" s="363"/>
      <c r="K8" s="364"/>
    </row>
    <row r="9" spans="1:11" ht="18.75" customHeight="1" x14ac:dyDescent="0.25">
      <c r="A9" s="354" t="s">
        <v>465</v>
      </c>
      <c r="B9" s="355"/>
      <c r="C9" s="355"/>
      <c r="D9" s="355"/>
      <c r="E9" s="355"/>
      <c r="F9" s="355"/>
      <c r="G9" s="355"/>
      <c r="H9" s="355"/>
      <c r="I9" s="355"/>
      <c r="J9" s="355"/>
      <c r="K9" s="356"/>
    </row>
    <row r="10" spans="1:11" ht="34.5" customHeight="1" x14ac:dyDescent="0.25">
      <c r="A10" s="354" t="s">
        <v>466</v>
      </c>
      <c r="B10" s="355"/>
      <c r="C10" s="355"/>
      <c r="D10" s="355"/>
      <c r="E10" s="355"/>
      <c r="F10" s="355"/>
      <c r="G10" s="355"/>
      <c r="H10" s="355"/>
      <c r="I10" s="355"/>
      <c r="J10" s="355"/>
      <c r="K10" s="356"/>
    </row>
    <row r="11" spans="1:11" ht="50.25" customHeight="1" thickBot="1" x14ac:dyDescent="0.3">
      <c r="A11" s="357" t="s">
        <v>539</v>
      </c>
      <c r="B11" s="358"/>
      <c r="C11" s="358"/>
      <c r="D11" s="358"/>
      <c r="E11" s="358"/>
      <c r="F11" s="358"/>
      <c r="G11" s="358"/>
      <c r="H11" s="358"/>
      <c r="I11" s="358"/>
      <c r="J11" s="358"/>
      <c r="K11" s="359"/>
    </row>
    <row r="12" spans="1:11" x14ac:dyDescent="0.25">
      <c r="A12" s="365"/>
      <c r="B12" s="365"/>
      <c r="C12" s="365"/>
      <c r="D12" s="365"/>
      <c r="E12" s="365"/>
      <c r="F12" s="365"/>
      <c r="G12" s="365"/>
      <c r="H12" s="365"/>
      <c r="I12" s="365"/>
      <c r="J12" s="365"/>
      <c r="K12" s="365"/>
    </row>
    <row r="13" spans="1:11" s="382" customFormat="1" ht="47.25" x14ac:dyDescent="0.25">
      <c r="A13" s="63"/>
      <c r="B13" s="379" t="s">
        <v>467</v>
      </c>
      <c r="C13" s="380"/>
      <c r="D13" s="381" t="s">
        <v>468</v>
      </c>
      <c r="E13" s="381"/>
      <c r="G13" s="90" t="s">
        <v>357</v>
      </c>
    </row>
    <row r="14" spans="1:11" ht="30" x14ac:dyDescent="0.25">
      <c r="A14" s="67" t="s">
        <v>469</v>
      </c>
      <c r="B14" s="67">
        <f>+COUNTIF('4 MAPA CALOR INHERENTE'!$E$10:$E$30,'8 PEFIL RIESGO DEL PROCESO'!G14)</f>
        <v>0</v>
      </c>
      <c r="C14" s="70">
        <f>+B14/$B$18</f>
        <v>0</v>
      </c>
      <c r="D14" s="67">
        <f>+COUNTIF('6 MAPA CALOR RESIDUAL'!$G$9:$G$28,'8 PEFIL RIESGO DEL PROCESO'!G14)</f>
        <v>0</v>
      </c>
      <c r="E14" s="70">
        <f>+D14/$D$18</f>
        <v>0</v>
      </c>
      <c r="G14" s="345" t="s">
        <v>355</v>
      </c>
    </row>
    <row r="15" spans="1:11" x14ac:dyDescent="0.25">
      <c r="A15" s="67" t="s">
        <v>470</v>
      </c>
      <c r="B15" s="67">
        <f>+COUNTIF('4 MAPA CALOR INHERENTE'!$E$10:$E$30,'8 PEFIL RIESGO DEL PROCESO'!G15)</f>
        <v>1</v>
      </c>
      <c r="C15" s="70">
        <f t="shared" ref="C15:C18" si="0">+B15/$B$18</f>
        <v>4.7619047619047616E-2</v>
      </c>
      <c r="D15" s="67">
        <f>+COUNTIF('6 MAPA CALOR RESIDUAL'!$G$9:$G$28,'8 PEFIL RIESGO DEL PROCESO'!G15)</f>
        <v>1</v>
      </c>
      <c r="E15" s="70">
        <f t="shared" ref="E15:E18" si="1">+D15/$D$18</f>
        <v>0.05</v>
      </c>
      <c r="G15" s="326" t="s">
        <v>354</v>
      </c>
    </row>
    <row r="16" spans="1:11" ht="30" x14ac:dyDescent="0.25">
      <c r="A16" s="67" t="s">
        <v>471</v>
      </c>
      <c r="B16" s="67">
        <f>+COUNTIF('4 MAPA CALOR INHERENTE'!$E$10:$E$30,'8 PEFIL RIESGO DEL PROCESO'!G16)</f>
        <v>19</v>
      </c>
      <c r="C16" s="70">
        <f t="shared" si="0"/>
        <v>0.90476190476190477</v>
      </c>
      <c r="D16" s="67">
        <f>+COUNTIF('6 MAPA CALOR RESIDUAL'!$G$9:$G$28,'8 PEFIL RIESGO DEL PROCESO'!G16)</f>
        <v>16</v>
      </c>
      <c r="E16" s="70">
        <f t="shared" si="1"/>
        <v>0.8</v>
      </c>
      <c r="G16" s="330" t="s">
        <v>332</v>
      </c>
    </row>
    <row r="17" spans="1:7" x14ac:dyDescent="0.25">
      <c r="A17" s="67" t="s">
        <v>472</v>
      </c>
      <c r="B17" s="67">
        <f>+COUNTIF('4 MAPA CALOR INHERENTE'!$E$10:$E$30,'8 PEFIL RIESGO DEL PROCESO'!G17)</f>
        <v>1</v>
      </c>
      <c r="C17" s="70">
        <f t="shared" si="0"/>
        <v>4.7619047619047616E-2</v>
      </c>
      <c r="D17" s="67">
        <f>+COUNTIF('6 MAPA CALOR RESIDUAL'!$G$9:$G$28,'8 PEFIL RIESGO DEL PROCESO'!G17)</f>
        <v>3</v>
      </c>
      <c r="E17" s="70">
        <f t="shared" si="1"/>
        <v>0.15</v>
      </c>
      <c r="G17" s="335" t="s">
        <v>356</v>
      </c>
    </row>
    <row r="18" spans="1:7" x14ac:dyDescent="0.25">
      <c r="A18" s="67" t="s">
        <v>473</v>
      </c>
      <c r="B18" s="67">
        <f>+SUM(B14:B17)</f>
        <v>21</v>
      </c>
      <c r="C18" s="70">
        <f t="shared" si="0"/>
        <v>1</v>
      </c>
      <c r="D18" s="67">
        <f>+SUM(D14:D17)</f>
        <v>20</v>
      </c>
      <c r="E18" s="70">
        <f t="shared" si="1"/>
        <v>1</v>
      </c>
    </row>
    <row r="19" spans="1:7" x14ac:dyDescent="0.25"/>
    <row r="20" spans="1:7" ht="31.5" x14ac:dyDescent="0.25">
      <c r="B20" s="63" t="s">
        <v>467</v>
      </c>
      <c r="D20" s="63" t="s">
        <v>468</v>
      </c>
    </row>
    <row r="21" spans="1:7" ht="41.45" customHeight="1" x14ac:dyDescent="0.25">
      <c r="B21" s="67" t="str">
        <f>+IF((B14/B18)&gt;=0.2,G14,+IF(((B14/B18)+(B15/B18))&gt;=0.3,G15,+IF(((B14/B18)+(B15/B18)+(B16/B18))&gt;=0.4,G16,+IF((B14/B18)+(B15/B18)+(B16/B18)+(B17/B18)&gt;=0.5,G17,""))))</f>
        <v>Moderado</v>
      </c>
      <c r="D21" s="67" t="str">
        <f>+IF((D14/D18)&gt;=0.2,G14,+IF(((D14/D18)+(D15/D18))&gt;=0.3,G15,+IF(((D14/D18)+(D15/D18)+(D16/D18))&gt;=0.4,G16,+IF((D14/D18)+(D15/D18)+(D16/D18)+(D17/D18)&gt;=0.5,G17,""))))</f>
        <v>Moderado</v>
      </c>
    </row>
    <row r="22" spans="1:7" x14ac:dyDescent="0.25"/>
    <row r="23" spans="1:7" x14ac:dyDescent="0.2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11" priority="1" operator="containsText" text="Bajo">
      <formula>NOT(ISERROR(SEARCH("Bajo",B21)))</formula>
    </cfRule>
    <cfRule type="containsText" dxfId="10" priority="2" operator="containsText" text="Moderado">
      <formula>NOT(ISERROR(SEARCH("Moderado",B21)))</formula>
    </cfRule>
    <cfRule type="containsText" dxfId="9" priority="3" operator="containsText" text="Alto">
      <formula>NOT(ISERROR(SEARCH("Alto",B21)))</formula>
    </cfRule>
    <cfRule type="containsText" dxfId="8" priority="4" operator="containsText" text="Extremo">
      <formula>NOT(ISERROR(SEARCH("Extremo",B21)))</formula>
    </cfRule>
  </conditionalFormatting>
  <printOptions horizontalCentered="1" verticalCentered="1"/>
  <pageMargins left="0.78740157480314965" right="0.78740157480314965" top="0.78740157480314965" bottom="0.78740157480314965" header="0.78740157480314965" footer="0.39370078740157483"/>
  <pageSetup scale="47" orientation="portrait" r:id="rId1"/>
  <headerFooter>
    <oddHeader>&amp;L&amp;"Arial,Negrita"&amp;12
MAPA DE RIESGOS &amp;"Arial,Normal"
Código: E-FO-017 | Versión: 13 | Fecha: Enero 29 de 2026&amp;"-,Normal"&amp;11
&amp;C&amp;G</oddHeader>
    <oddFooter xml:space="preserve">&amp;L&amp;"Arial,Normal"&amp;12Teléfono: (+57) 601 601 2424 | Línea gratuita: 01 8000 41 37 95 | Código postal: 110221
Dirección: Carrera 10 No. 97A - 13, Torre A, Piso 6 | Bogotá D.C., Colombia 
www.apccolombia.gov.co
Página: &amp;P/&amp;N
</oddFooter>
  </headerFooter>
  <legacy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D23"/>
  <sheetViews>
    <sheetView zoomScaleNormal="100" zoomScaleSheetLayoutView="110" workbookViewId="0">
      <selection activeCell="B17" sqref="B17"/>
    </sheetView>
  </sheetViews>
  <sheetFormatPr baseColWidth="10" defaultColWidth="11.42578125" defaultRowHeight="15" x14ac:dyDescent="0.25"/>
  <cols>
    <col min="1" max="1" width="17.42578125" style="374" customWidth="1"/>
    <col min="2" max="2" width="23.42578125" style="361" customWidth="1"/>
    <col min="3" max="3" width="12.42578125" style="361" customWidth="1"/>
    <col min="4" max="4" width="16.42578125" style="361" customWidth="1"/>
    <col min="5" max="256" width="11.42578125" style="361"/>
    <col min="257" max="257" width="17.42578125" style="361" customWidth="1"/>
    <col min="258" max="258" width="23.42578125" style="361" customWidth="1"/>
    <col min="259" max="259" width="11.42578125" style="361"/>
    <col min="260" max="260" width="12.42578125" style="361" customWidth="1"/>
    <col min="261" max="512" width="11.42578125" style="361"/>
    <col min="513" max="513" width="17.42578125" style="361" customWidth="1"/>
    <col min="514" max="514" width="23.42578125" style="361" customWidth="1"/>
    <col min="515" max="515" width="11.42578125" style="361"/>
    <col min="516" max="516" width="12.42578125" style="361" customWidth="1"/>
    <col min="517" max="768" width="11.42578125" style="361"/>
    <col min="769" max="769" width="17.42578125" style="361" customWidth="1"/>
    <col min="770" max="770" width="23.42578125" style="361" customWidth="1"/>
    <col min="771" max="771" width="11.42578125" style="361"/>
    <col min="772" max="772" width="12.42578125" style="361" customWidth="1"/>
    <col min="773" max="1024" width="11.42578125" style="361"/>
    <col min="1025" max="1025" width="17.42578125" style="361" customWidth="1"/>
    <col min="1026" max="1026" width="23.42578125" style="361" customWidth="1"/>
    <col min="1027" max="1027" width="11.42578125" style="361"/>
    <col min="1028" max="1028" width="12.42578125" style="361" customWidth="1"/>
    <col min="1029" max="1280" width="11.42578125" style="361"/>
    <col min="1281" max="1281" width="17.42578125" style="361" customWidth="1"/>
    <col min="1282" max="1282" width="23.42578125" style="361" customWidth="1"/>
    <col min="1283" max="1283" width="11.42578125" style="361"/>
    <col min="1284" max="1284" width="12.42578125" style="361" customWidth="1"/>
    <col min="1285" max="1536" width="11.42578125" style="361"/>
    <col min="1537" max="1537" width="17.42578125" style="361" customWidth="1"/>
    <col min="1538" max="1538" width="23.42578125" style="361" customWidth="1"/>
    <col min="1539" max="1539" width="11.42578125" style="361"/>
    <col min="1540" max="1540" width="12.42578125" style="361" customWidth="1"/>
    <col min="1541" max="1792" width="11.42578125" style="361"/>
    <col min="1793" max="1793" width="17.42578125" style="361" customWidth="1"/>
    <col min="1794" max="1794" width="23.42578125" style="361" customWidth="1"/>
    <col min="1795" max="1795" width="11.42578125" style="361"/>
    <col min="1796" max="1796" width="12.42578125" style="361" customWidth="1"/>
    <col min="1797" max="2048" width="11.42578125" style="361"/>
    <col min="2049" max="2049" width="17.42578125" style="361" customWidth="1"/>
    <col min="2050" max="2050" width="23.42578125" style="361" customWidth="1"/>
    <col min="2051" max="2051" width="11.42578125" style="361"/>
    <col min="2052" max="2052" width="12.42578125" style="361" customWidth="1"/>
    <col min="2053" max="2304" width="11.42578125" style="361"/>
    <col min="2305" max="2305" width="17.42578125" style="361" customWidth="1"/>
    <col min="2306" max="2306" width="23.42578125" style="361" customWidth="1"/>
    <col min="2307" max="2307" width="11.42578125" style="361"/>
    <col min="2308" max="2308" width="12.42578125" style="361" customWidth="1"/>
    <col min="2309" max="2560" width="11.42578125" style="361"/>
    <col min="2561" max="2561" width="17.42578125" style="361" customWidth="1"/>
    <col min="2562" max="2562" width="23.42578125" style="361" customWidth="1"/>
    <col min="2563" max="2563" width="11.42578125" style="361"/>
    <col min="2564" max="2564" width="12.42578125" style="361" customWidth="1"/>
    <col min="2565" max="2816" width="11.42578125" style="361"/>
    <col min="2817" max="2817" width="17.42578125" style="361" customWidth="1"/>
    <col min="2818" max="2818" width="23.42578125" style="361" customWidth="1"/>
    <col min="2819" max="2819" width="11.42578125" style="361"/>
    <col min="2820" max="2820" width="12.42578125" style="361" customWidth="1"/>
    <col min="2821" max="3072" width="11.42578125" style="361"/>
    <col min="3073" max="3073" width="17.42578125" style="361" customWidth="1"/>
    <col min="3074" max="3074" width="23.42578125" style="361" customWidth="1"/>
    <col min="3075" max="3075" width="11.42578125" style="361"/>
    <col min="3076" max="3076" width="12.42578125" style="361" customWidth="1"/>
    <col min="3077" max="3328" width="11.42578125" style="361"/>
    <col min="3329" max="3329" width="17.42578125" style="361" customWidth="1"/>
    <col min="3330" max="3330" width="23.42578125" style="361" customWidth="1"/>
    <col min="3331" max="3331" width="11.42578125" style="361"/>
    <col min="3332" max="3332" width="12.42578125" style="361" customWidth="1"/>
    <col min="3333" max="3584" width="11.42578125" style="361"/>
    <col min="3585" max="3585" width="17.42578125" style="361" customWidth="1"/>
    <col min="3586" max="3586" width="23.42578125" style="361" customWidth="1"/>
    <col min="3587" max="3587" width="11.42578125" style="361"/>
    <col min="3588" max="3588" width="12.42578125" style="361" customWidth="1"/>
    <col min="3589" max="3840" width="11.42578125" style="361"/>
    <col min="3841" max="3841" width="17.42578125" style="361" customWidth="1"/>
    <col min="3842" max="3842" width="23.42578125" style="361" customWidth="1"/>
    <col min="3843" max="3843" width="11.42578125" style="361"/>
    <col min="3844" max="3844" width="12.42578125" style="361" customWidth="1"/>
    <col min="3845" max="4096" width="11.42578125" style="361"/>
    <col min="4097" max="4097" width="17.42578125" style="361" customWidth="1"/>
    <col min="4098" max="4098" width="23.42578125" style="361" customWidth="1"/>
    <col min="4099" max="4099" width="11.42578125" style="361"/>
    <col min="4100" max="4100" width="12.42578125" style="361" customWidth="1"/>
    <col min="4101" max="4352" width="11.42578125" style="361"/>
    <col min="4353" max="4353" width="17.42578125" style="361" customWidth="1"/>
    <col min="4354" max="4354" width="23.42578125" style="361" customWidth="1"/>
    <col min="4355" max="4355" width="11.42578125" style="361"/>
    <col min="4356" max="4356" width="12.42578125" style="361" customWidth="1"/>
    <col min="4357" max="4608" width="11.42578125" style="361"/>
    <col min="4609" max="4609" width="17.42578125" style="361" customWidth="1"/>
    <col min="4610" max="4610" width="23.42578125" style="361" customWidth="1"/>
    <col min="4611" max="4611" width="11.42578125" style="361"/>
    <col min="4612" max="4612" width="12.42578125" style="361" customWidth="1"/>
    <col min="4613" max="4864" width="11.42578125" style="361"/>
    <col min="4865" max="4865" width="17.42578125" style="361" customWidth="1"/>
    <col min="4866" max="4866" width="23.42578125" style="361" customWidth="1"/>
    <col min="4867" max="4867" width="11.42578125" style="361"/>
    <col min="4868" max="4868" width="12.42578125" style="361" customWidth="1"/>
    <col min="4869" max="5120" width="11.42578125" style="361"/>
    <col min="5121" max="5121" width="17.42578125" style="361" customWidth="1"/>
    <col min="5122" max="5122" width="23.42578125" style="361" customWidth="1"/>
    <col min="5123" max="5123" width="11.42578125" style="361"/>
    <col min="5124" max="5124" width="12.42578125" style="361" customWidth="1"/>
    <col min="5125" max="5376" width="11.42578125" style="361"/>
    <col min="5377" max="5377" width="17.42578125" style="361" customWidth="1"/>
    <col min="5378" max="5378" width="23.42578125" style="361" customWidth="1"/>
    <col min="5379" max="5379" width="11.42578125" style="361"/>
    <col min="5380" max="5380" width="12.42578125" style="361" customWidth="1"/>
    <col min="5381" max="5632" width="11.42578125" style="361"/>
    <col min="5633" max="5633" width="17.42578125" style="361" customWidth="1"/>
    <col min="5634" max="5634" width="23.42578125" style="361" customWidth="1"/>
    <col min="5635" max="5635" width="11.42578125" style="361"/>
    <col min="5636" max="5636" width="12.42578125" style="361" customWidth="1"/>
    <col min="5637" max="5888" width="11.42578125" style="361"/>
    <col min="5889" max="5889" width="17.42578125" style="361" customWidth="1"/>
    <col min="5890" max="5890" width="23.42578125" style="361" customWidth="1"/>
    <col min="5891" max="5891" width="11.42578125" style="361"/>
    <col min="5892" max="5892" width="12.42578125" style="361" customWidth="1"/>
    <col min="5893" max="6144" width="11.42578125" style="361"/>
    <col min="6145" max="6145" width="17.42578125" style="361" customWidth="1"/>
    <col min="6146" max="6146" width="23.42578125" style="361" customWidth="1"/>
    <col min="6147" max="6147" width="11.42578125" style="361"/>
    <col min="6148" max="6148" width="12.42578125" style="361" customWidth="1"/>
    <col min="6149" max="6400" width="11.42578125" style="361"/>
    <col min="6401" max="6401" width="17.42578125" style="361" customWidth="1"/>
    <col min="6402" max="6402" width="23.42578125" style="361" customWidth="1"/>
    <col min="6403" max="6403" width="11.42578125" style="361"/>
    <col min="6404" max="6404" width="12.42578125" style="361" customWidth="1"/>
    <col min="6405" max="6656" width="11.42578125" style="361"/>
    <col min="6657" max="6657" width="17.42578125" style="361" customWidth="1"/>
    <col min="6658" max="6658" width="23.42578125" style="361" customWidth="1"/>
    <col min="6659" max="6659" width="11.42578125" style="361"/>
    <col min="6660" max="6660" width="12.42578125" style="361" customWidth="1"/>
    <col min="6661" max="6912" width="11.42578125" style="361"/>
    <col min="6913" max="6913" width="17.42578125" style="361" customWidth="1"/>
    <col min="6914" max="6914" width="23.42578125" style="361" customWidth="1"/>
    <col min="6915" max="6915" width="11.42578125" style="361"/>
    <col min="6916" max="6916" width="12.42578125" style="361" customWidth="1"/>
    <col min="6917" max="7168" width="11.42578125" style="361"/>
    <col min="7169" max="7169" width="17.42578125" style="361" customWidth="1"/>
    <col min="7170" max="7170" width="23.42578125" style="361" customWidth="1"/>
    <col min="7171" max="7171" width="11.42578125" style="361"/>
    <col min="7172" max="7172" width="12.42578125" style="361" customWidth="1"/>
    <col min="7173" max="7424" width="11.42578125" style="361"/>
    <col min="7425" max="7425" width="17.42578125" style="361" customWidth="1"/>
    <col min="7426" max="7426" width="23.42578125" style="361" customWidth="1"/>
    <col min="7427" max="7427" width="11.42578125" style="361"/>
    <col min="7428" max="7428" width="12.42578125" style="361" customWidth="1"/>
    <col min="7429" max="7680" width="11.42578125" style="361"/>
    <col min="7681" max="7681" width="17.42578125" style="361" customWidth="1"/>
    <col min="7682" max="7682" width="23.42578125" style="361" customWidth="1"/>
    <col min="7683" max="7683" width="11.42578125" style="361"/>
    <col min="7684" max="7684" width="12.42578125" style="361" customWidth="1"/>
    <col min="7685" max="7936" width="11.42578125" style="361"/>
    <col min="7937" max="7937" width="17.42578125" style="361" customWidth="1"/>
    <col min="7938" max="7938" width="23.42578125" style="361" customWidth="1"/>
    <col min="7939" max="7939" width="11.42578125" style="361"/>
    <col min="7940" max="7940" width="12.42578125" style="361" customWidth="1"/>
    <col min="7941" max="8192" width="11.42578125" style="361"/>
    <col min="8193" max="8193" width="17.42578125" style="361" customWidth="1"/>
    <col min="8194" max="8194" width="23.42578125" style="361" customWidth="1"/>
    <col min="8195" max="8195" width="11.42578125" style="361"/>
    <col min="8196" max="8196" width="12.42578125" style="361" customWidth="1"/>
    <col min="8197" max="8448" width="11.42578125" style="361"/>
    <col min="8449" max="8449" width="17.42578125" style="361" customWidth="1"/>
    <col min="8450" max="8450" width="23.42578125" style="361" customWidth="1"/>
    <col min="8451" max="8451" width="11.42578125" style="361"/>
    <col min="8452" max="8452" width="12.42578125" style="361" customWidth="1"/>
    <col min="8453" max="8704" width="11.42578125" style="361"/>
    <col min="8705" max="8705" width="17.42578125" style="361" customWidth="1"/>
    <col min="8706" max="8706" width="23.42578125" style="361" customWidth="1"/>
    <col min="8707" max="8707" width="11.42578125" style="361"/>
    <col min="8708" max="8708" width="12.42578125" style="361" customWidth="1"/>
    <col min="8709" max="8960" width="11.42578125" style="361"/>
    <col min="8961" max="8961" width="17.42578125" style="361" customWidth="1"/>
    <col min="8962" max="8962" width="23.42578125" style="361" customWidth="1"/>
    <col min="8963" max="8963" width="11.42578125" style="361"/>
    <col min="8964" max="8964" width="12.42578125" style="361" customWidth="1"/>
    <col min="8965" max="9216" width="11.42578125" style="361"/>
    <col min="9217" max="9217" width="17.42578125" style="361" customWidth="1"/>
    <col min="9218" max="9218" width="23.42578125" style="361" customWidth="1"/>
    <col min="9219" max="9219" width="11.42578125" style="361"/>
    <col min="9220" max="9220" width="12.42578125" style="361" customWidth="1"/>
    <col min="9221" max="9472" width="11.42578125" style="361"/>
    <col min="9473" max="9473" width="17.42578125" style="361" customWidth="1"/>
    <col min="9474" max="9474" width="23.42578125" style="361" customWidth="1"/>
    <col min="9475" max="9475" width="11.42578125" style="361"/>
    <col min="9476" max="9476" width="12.42578125" style="361" customWidth="1"/>
    <col min="9477" max="9728" width="11.42578125" style="361"/>
    <col min="9729" max="9729" width="17.42578125" style="361" customWidth="1"/>
    <col min="9730" max="9730" width="23.42578125" style="361" customWidth="1"/>
    <col min="9731" max="9731" width="11.42578125" style="361"/>
    <col min="9732" max="9732" width="12.42578125" style="361" customWidth="1"/>
    <col min="9733" max="9984" width="11.42578125" style="361"/>
    <col min="9985" max="9985" width="17.42578125" style="361" customWidth="1"/>
    <col min="9986" max="9986" width="23.42578125" style="361" customWidth="1"/>
    <col min="9987" max="9987" width="11.42578125" style="361"/>
    <col min="9988" max="9988" width="12.42578125" style="361" customWidth="1"/>
    <col min="9989" max="10240" width="11.42578125" style="361"/>
    <col min="10241" max="10241" width="17.42578125" style="361" customWidth="1"/>
    <col min="10242" max="10242" width="23.42578125" style="361" customWidth="1"/>
    <col min="10243" max="10243" width="11.42578125" style="361"/>
    <col min="10244" max="10244" width="12.42578125" style="361" customWidth="1"/>
    <col min="10245" max="10496" width="11.42578125" style="361"/>
    <col min="10497" max="10497" width="17.42578125" style="361" customWidth="1"/>
    <col min="10498" max="10498" width="23.42578125" style="361" customWidth="1"/>
    <col min="10499" max="10499" width="11.42578125" style="361"/>
    <col min="10500" max="10500" width="12.42578125" style="361" customWidth="1"/>
    <col min="10501" max="10752" width="11.42578125" style="361"/>
    <col min="10753" max="10753" width="17.42578125" style="361" customWidth="1"/>
    <col min="10754" max="10754" width="23.42578125" style="361" customWidth="1"/>
    <col min="10755" max="10755" width="11.42578125" style="361"/>
    <col min="10756" max="10756" width="12.42578125" style="361" customWidth="1"/>
    <col min="10757" max="11008" width="11.42578125" style="361"/>
    <col min="11009" max="11009" width="17.42578125" style="361" customWidth="1"/>
    <col min="11010" max="11010" width="23.42578125" style="361" customWidth="1"/>
    <col min="11011" max="11011" width="11.42578125" style="361"/>
    <col min="11012" max="11012" width="12.42578125" style="361" customWidth="1"/>
    <col min="11013" max="11264" width="11.42578125" style="361"/>
    <col min="11265" max="11265" width="17.42578125" style="361" customWidth="1"/>
    <col min="11266" max="11266" width="23.42578125" style="361" customWidth="1"/>
    <col min="11267" max="11267" width="11.42578125" style="361"/>
    <col min="11268" max="11268" width="12.42578125" style="361" customWidth="1"/>
    <col min="11269" max="11520" width="11.42578125" style="361"/>
    <col min="11521" max="11521" width="17.42578125" style="361" customWidth="1"/>
    <col min="11522" max="11522" width="23.42578125" style="361" customWidth="1"/>
    <col min="11523" max="11523" width="11.42578125" style="361"/>
    <col min="11524" max="11524" width="12.42578125" style="361" customWidth="1"/>
    <col min="11525" max="11776" width="11.42578125" style="361"/>
    <col min="11777" max="11777" width="17.42578125" style="361" customWidth="1"/>
    <col min="11778" max="11778" width="23.42578125" style="361" customWidth="1"/>
    <col min="11779" max="11779" width="11.42578125" style="361"/>
    <col min="11780" max="11780" width="12.42578125" style="361" customWidth="1"/>
    <col min="11781" max="12032" width="11.42578125" style="361"/>
    <col min="12033" max="12033" width="17.42578125" style="361" customWidth="1"/>
    <col min="12034" max="12034" width="23.42578125" style="361" customWidth="1"/>
    <col min="12035" max="12035" width="11.42578125" style="361"/>
    <col min="12036" max="12036" width="12.42578125" style="361" customWidth="1"/>
    <col min="12037" max="12288" width="11.42578125" style="361"/>
    <col min="12289" max="12289" width="17.42578125" style="361" customWidth="1"/>
    <col min="12290" max="12290" width="23.42578125" style="361" customWidth="1"/>
    <col min="12291" max="12291" width="11.42578125" style="361"/>
    <col min="12292" max="12292" width="12.42578125" style="361" customWidth="1"/>
    <col min="12293" max="12544" width="11.42578125" style="361"/>
    <col min="12545" max="12545" width="17.42578125" style="361" customWidth="1"/>
    <col min="12546" max="12546" width="23.42578125" style="361" customWidth="1"/>
    <col min="12547" max="12547" width="11.42578125" style="361"/>
    <col min="12548" max="12548" width="12.42578125" style="361" customWidth="1"/>
    <col min="12549" max="12800" width="11.42578125" style="361"/>
    <col min="12801" max="12801" width="17.42578125" style="361" customWidth="1"/>
    <col min="12802" max="12802" width="23.42578125" style="361" customWidth="1"/>
    <col min="12803" max="12803" width="11.42578125" style="361"/>
    <col min="12804" max="12804" width="12.42578125" style="361" customWidth="1"/>
    <col min="12805" max="13056" width="11.42578125" style="361"/>
    <col min="13057" max="13057" width="17.42578125" style="361" customWidth="1"/>
    <col min="13058" max="13058" width="23.42578125" style="361" customWidth="1"/>
    <col min="13059" max="13059" width="11.42578125" style="361"/>
    <col min="13060" max="13060" width="12.42578125" style="361" customWidth="1"/>
    <col min="13061" max="13312" width="11.42578125" style="361"/>
    <col min="13313" max="13313" width="17.42578125" style="361" customWidth="1"/>
    <col min="13314" max="13314" width="23.42578125" style="361" customWidth="1"/>
    <col min="13315" max="13315" width="11.42578125" style="361"/>
    <col min="13316" max="13316" width="12.42578125" style="361" customWidth="1"/>
    <col min="13317" max="13568" width="11.42578125" style="361"/>
    <col min="13569" max="13569" width="17.42578125" style="361" customWidth="1"/>
    <col min="13570" max="13570" width="23.42578125" style="361" customWidth="1"/>
    <col min="13571" max="13571" width="11.42578125" style="361"/>
    <col min="13572" max="13572" width="12.42578125" style="361" customWidth="1"/>
    <col min="13573" max="13824" width="11.42578125" style="361"/>
    <col min="13825" max="13825" width="17.42578125" style="361" customWidth="1"/>
    <col min="13826" max="13826" width="23.42578125" style="361" customWidth="1"/>
    <col min="13827" max="13827" width="11.42578125" style="361"/>
    <col min="13828" max="13828" width="12.42578125" style="361" customWidth="1"/>
    <col min="13829" max="14080" width="11.42578125" style="361"/>
    <col min="14081" max="14081" width="17.42578125" style="361" customWidth="1"/>
    <col min="14082" max="14082" width="23.42578125" style="361" customWidth="1"/>
    <col min="14083" max="14083" width="11.42578125" style="361"/>
    <col min="14084" max="14084" width="12.42578125" style="361" customWidth="1"/>
    <col min="14085" max="14336" width="11.42578125" style="361"/>
    <col min="14337" max="14337" width="17.42578125" style="361" customWidth="1"/>
    <col min="14338" max="14338" width="23.42578125" style="361" customWidth="1"/>
    <col min="14339" max="14339" width="11.42578125" style="361"/>
    <col min="14340" max="14340" width="12.42578125" style="361" customWidth="1"/>
    <col min="14341" max="14592" width="11.42578125" style="361"/>
    <col min="14593" max="14593" width="17.42578125" style="361" customWidth="1"/>
    <col min="14594" max="14594" width="23.42578125" style="361" customWidth="1"/>
    <col min="14595" max="14595" width="11.42578125" style="361"/>
    <col min="14596" max="14596" width="12.42578125" style="361" customWidth="1"/>
    <col min="14597" max="14848" width="11.42578125" style="361"/>
    <col min="14849" max="14849" width="17.42578125" style="361" customWidth="1"/>
    <col min="14850" max="14850" width="23.42578125" style="361" customWidth="1"/>
    <col min="14851" max="14851" width="11.42578125" style="361"/>
    <col min="14852" max="14852" width="12.42578125" style="361" customWidth="1"/>
    <col min="14853" max="15104" width="11.42578125" style="361"/>
    <col min="15105" max="15105" width="17.42578125" style="361" customWidth="1"/>
    <col min="15106" max="15106" width="23.42578125" style="361" customWidth="1"/>
    <col min="15107" max="15107" width="11.42578125" style="361"/>
    <col min="15108" max="15108" width="12.42578125" style="361" customWidth="1"/>
    <col min="15109" max="15360" width="11.42578125" style="361"/>
    <col min="15361" max="15361" width="17.42578125" style="361" customWidth="1"/>
    <col min="15362" max="15362" width="23.42578125" style="361" customWidth="1"/>
    <col min="15363" max="15363" width="11.42578125" style="361"/>
    <col min="15364" max="15364" width="12.42578125" style="361" customWidth="1"/>
    <col min="15365" max="15616" width="11.42578125" style="361"/>
    <col min="15617" max="15617" width="17.42578125" style="361" customWidth="1"/>
    <col min="15618" max="15618" width="23.42578125" style="361" customWidth="1"/>
    <col min="15619" max="15619" width="11.42578125" style="361"/>
    <col min="15620" max="15620" width="12.42578125" style="361" customWidth="1"/>
    <col min="15621" max="15872" width="11.42578125" style="361"/>
    <col min="15873" max="15873" width="17.42578125" style="361" customWidth="1"/>
    <col min="15874" max="15874" width="23.42578125" style="361" customWidth="1"/>
    <col min="15875" max="15875" width="11.42578125" style="361"/>
    <col min="15876" max="15876" width="12.42578125" style="361" customWidth="1"/>
    <col min="15877" max="16128" width="11.42578125" style="361"/>
    <col min="16129" max="16129" width="17.42578125" style="361" customWidth="1"/>
    <col min="16130" max="16130" width="23.42578125" style="361" customWidth="1"/>
    <col min="16131" max="16131" width="11.42578125" style="361"/>
    <col min="16132" max="16132" width="12.42578125" style="361" customWidth="1"/>
    <col min="16133" max="16384" width="11.42578125" style="361"/>
  </cols>
  <sheetData>
    <row r="1" spans="1:4" ht="36.75" customHeight="1" x14ac:dyDescent="0.25">
      <c r="A1" s="366"/>
      <c r="B1" s="53" t="str">
        <f>+'2 CONTEXTO E IDENTIFICACIÓN'!A1</f>
        <v>MAPA DE RIESGOS</v>
      </c>
      <c r="C1" s="78"/>
      <c r="D1" s="79"/>
    </row>
    <row r="2" spans="1:4" ht="36.75" customHeight="1" x14ac:dyDescent="0.25">
      <c r="A2" s="366"/>
      <c r="B2" s="53"/>
      <c r="C2" s="83" t="str">
        <f>+'2 CONTEXTO E IDENTIFICACIÓN'!A2</f>
        <v>VERSIÓN:</v>
      </c>
      <c r="D2" s="320">
        <f>'2 CONTEXTO E IDENTIFICACIÓN'!B2</f>
        <v>1</v>
      </c>
    </row>
    <row r="3" spans="1:4" ht="15.75" x14ac:dyDescent="0.25">
      <c r="A3" s="367" t="s">
        <v>474</v>
      </c>
      <c r="B3" s="368" t="s">
        <v>475</v>
      </c>
      <c r="C3" s="368"/>
      <c r="D3" s="368"/>
    </row>
    <row r="4" spans="1:4" x14ac:dyDescent="0.25">
      <c r="A4" s="369"/>
      <c r="B4" s="370"/>
      <c r="C4" s="370"/>
      <c r="D4" s="370"/>
    </row>
    <row r="5" spans="1:4" s="346" customFormat="1" x14ac:dyDescent="0.25">
      <c r="A5" s="369"/>
      <c r="B5" s="370"/>
      <c r="C5" s="370"/>
      <c r="D5" s="370"/>
    </row>
    <row r="6" spans="1:4" x14ac:dyDescent="0.25">
      <c r="A6" s="371"/>
      <c r="B6" s="370"/>
      <c r="C6" s="370"/>
      <c r="D6" s="370"/>
    </row>
    <row r="7" spans="1:4" x14ac:dyDescent="0.25">
      <c r="A7" s="371"/>
      <c r="B7" s="370"/>
      <c r="C7" s="370"/>
      <c r="D7" s="370"/>
    </row>
    <row r="8" spans="1:4" x14ac:dyDescent="0.25">
      <c r="A8" s="371"/>
      <c r="B8" s="370"/>
      <c r="C8" s="370"/>
      <c r="D8" s="370"/>
    </row>
    <row r="9" spans="1:4" x14ac:dyDescent="0.25">
      <c r="A9" s="371"/>
      <c r="B9" s="370"/>
      <c r="C9" s="370"/>
      <c r="D9" s="370"/>
    </row>
    <row r="10" spans="1:4" x14ac:dyDescent="0.25">
      <c r="A10" s="372"/>
      <c r="B10" s="373"/>
      <c r="C10" s="373"/>
      <c r="D10" s="373"/>
    </row>
    <row r="11" spans="1:4" x14ac:dyDescent="0.25">
      <c r="A11" s="372"/>
      <c r="B11" s="373"/>
      <c r="C11" s="373"/>
      <c r="D11" s="373"/>
    </row>
    <row r="12" spans="1:4" x14ac:dyDescent="0.25">
      <c r="A12" s="372"/>
      <c r="B12" s="373"/>
      <c r="C12" s="373"/>
      <c r="D12" s="373"/>
    </row>
    <row r="13" spans="1:4" x14ac:dyDescent="0.25">
      <c r="A13" s="372"/>
      <c r="B13" s="373"/>
      <c r="C13" s="373"/>
      <c r="D13" s="373"/>
    </row>
    <row r="14" spans="1:4" x14ac:dyDescent="0.25">
      <c r="A14" s="372"/>
      <c r="B14" s="373"/>
      <c r="C14" s="373"/>
      <c r="D14" s="373"/>
    </row>
    <row r="15" spans="1:4" x14ac:dyDescent="0.25">
      <c r="A15" s="372"/>
      <c r="B15" s="373"/>
      <c r="C15" s="373"/>
      <c r="D15" s="373"/>
    </row>
    <row r="16" spans="1:4" x14ac:dyDescent="0.25">
      <c r="A16" s="372"/>
      <c r="B16" s="373"/>
      <c r="C16" s="373"/>
      <c r="D16" s="373"/>
    </row>
    <row r="17" spans="1:4" x14ac:dyDescent="0.25">
      <c r="A17" s="372"/>
      <c r="B17" s="373"/>
      <c r="C17" s="373"/>
      <c r="D17" s="373"/>
    </row>
    <row r="18" spans="1:4" x14ac:dyDescent="0.25">
      <c r="A18" s="372"/>
      <c r="B18" s="373"/>
      <c r="C18" s="373"/>
      <c r="D18" s="373"/>
    </row>
    <row r="19" spans="1:4" x14ac:dyDescent="0.25">
      <c r="A19" s="372"/>
      <c r="B19" s="373"/>
      <c r="C19" s="373"/>
      <c r="D19" s="373"/>
    </row>
    <row r="20" spans="1:4" x14ac:dyDescent="0.25">
      <c r="A20" s="372"/>
      <c r="B20" s="373"/>
      <c r="C20" s="373"/>
      <c r="D20" s="373"/>
    </row>
    <row r="21" spans="1:4" x14ac:dyDescent="0.25">
      <c r="A21" s="372"/>
      <c r="B21" s="373"/>
      <c r="C21" s="373"/>
      <c r="D21" s="373"/>
    </row>
    <row r="22" spans="1:4" x14ac:dyDescent="0.25">
      <c r="A22" s="372"/>
      <c r="B22" s="373"/>
      <c r="C22" s="373"/>
      <c r="D22" s="373"/>
    </row>
    <row r="23" spans="1:4" x14ac:dyDescent="0.25">
      <c r="A23" s="372"/>
      <c r="B23" s="373"/>
      <c r="C23" s="373"/>
      <c r="D23" s="373"/>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R41"/>
  <sheetViews>
    <sheetView showGridLines="0" topLeftCell="A17" zoomScale="55" zoomScaleNormal="55" workbookViewId="0">
      <selection activeCell="F17" sqref="F17"/>
    </sheetView>
  </sheetViews>
  <sheetFormatPr baseColWidth="10" defaultColWidth="0" defaultRowHeight="15" x14ac:dyDescent="0.25"/>
  <cols>
    <col min="1" max="1" width="27.140625" style="81" customWidth="1"/>
    <col min="2" max="2" width="24.42578125" style="81" customWidth="1"/>
    <col min="3" max="3" width="28.85546875" style="81" customWidth="1"/>
    <col min="4" max="4" width="21.42578125" style="81" hidden="1" customWidth="1"/>
    <col min="5" max="5" width="60.42578125" style="81" customWidth="1"/>
    <col min="6" max="6" width="24.42578125" style="81" customWidth="1"/>
    <col min="7" max="7" width="34" style="81" customWidth="1"/>
    <col min="8" max="8" width="26" style="81" customWidth="1"/>
    <col min="9" max="9" width="28.42578125" style="81" customWidth="1"/>
    <col min="10" max="10" width="58.42578125" style="81" customWidth="1"/>
    <col min="11" max="11" width="20.42578125" style="81" customWidth="1"/>
    <col min="12" max="12" width="11.42578125" style="81" customWidth="1"/>
    <col min="13" max="24" width="11.42578125" style="81" hidden="1"/>
    <col min="25" max="25" width="8.140625" style="81" hidden="1"/>
    <col min="26" max="30" width="32.42578125" style="81" hidden="1"/>
    <col min="31" max="16372" width="11.42578125" style="81" hidden="1"/>
    <col min="16373" max="16384" width="25.42578125" style="81" hidden="1"/>
  </cols>
  <sheetData>
    <row r="1" spans="1:11" s="84" customFormat="1" ht="15.75" x14ac:dyDescent="0.25">
      <c r="A1" s="152" t="s">
        <v>53</v>
      </c>
      <c r="B1" s="152"/>
      <c r="C1" s="152"/>
      <c r="D1" s="152"/>
      <c r="E1" s="152"/>
      <c r="F1" s="152"/>
      <c r="G1" s="152"/>
      <c r="H1" s="152"/>
      <c r="I1" s="152"/>
      <c r="J1" s="152"/>
      <c r="K1" s="152"/>
    </row>
    <row r="2" spans="1:11" s="84" customFormat="1" ht="15.75" x14ac:dyDescent="0.25">
      <c r="A2" s="153" t="s">
        <v>54</v>
      </c>
      <c r="B2" s="153">
        <v>1</v>
      </c>
      <c r="C2" s="154"/>
      <c r="D2" s="155"/>
      <c r="E2" s="155"/>
      <c r="F2" s="155"/>
      <c r="G2" s="155"/>
      <c r="H2" s="155"/>
      <c r="I2" s="155"/>
      <c r="J2" s="155"/>
      <c r="K2" s="156"/>
    </row>
    <row r="3" spans="1:11" s="84" customFormat="1" ht="15.75" x14ac:dyDescent="0.25">
      <c r="A3" s="157"/>
      <c r="B3" s="158"/>
      <c r="C3" s="158"/>
      <c r="D3" s="158"/>
      <c r="E3" s="158"/>
      <c r="F3" s="158"/>
      <c r="G3" s="158"/>
      <c r="H3" s="158"/>
      <c r="I3" s="158"/>
      <c r="J3" s="158"/>
      <c r="K3" s="159"/>
    </row>
    <row r="4" spans="1:11" ht="63" customHeight="1" x14ac:dyDescent="0.25">
      <c r="A4" s="90" t="s">
        <v>55</v>
      </c>
      <c r="B4" s="160" t="s">
        <v>56</v>
      </c>
      <c r="C4" s="161"/>
      <c r="D4" s="162"/>
      <c r="E4" s="90" t="s">
        <v>57</v>
      </c>
      <c r="F4" s="144"/>
      <c r="G4" s="145"/>
      <c r="H4" s="146"/>
      <c r="I4" s="85" t="s">
        <v>11</v>
      </c>
      <c r="J4" s="163"/>
      <c r="K4" s="164"/>
    </row>
    <row r="5" spans="1:11" ht="36.75" customHeight="1" x14ac:dyDescent="0.25">
      <c r="A5" s="147" t="s">
        <v>58</v>
      </c>
      <c r="B5" s="144"/>
      <c r="C5" s="145"/>
      <c r="D5" s="146"/>
      <c r="E5" s="147" t="s">
        <v>59</v>
      </c>
      <c r="F5" s="147" t="s">
        <v>60</v>
      </c>
      <c r="G5" s="165">
        <v>46023</v>
      </c>
      <c r="H5" s="166"/>
      <c r="I5" s="167" t="s">
        <v>61</v>
      </c>
      <c r="J5" s="166">
        <v>46387</v>
      </c>
      <c r="K5" s="168"/>
    </row>
    <row r="6" spans="1:11" ht="15.75" x14ac:dyDescent="0.25">
      <c r="F6" s="108"/>
      <c r="G6" s="148"/>
      <c r="H6" s="148"/>
      <c r="I6" s="108"/>
      <c r="J6" s="169"/>
    </row>
    <row r="7" spans="1:11" ht="15.75" x14ac:dyDescent="0.25">
      <c r="A7" s="170" t="s">
        <v>62</v>
      </c>
      <c r="B7" s="170" t="s">
        <v>63</v>
      </c>
      <c r="C7" s="170"/>
      <c r="D7" s="170"/>
      <c r="E7" s="170"/>
    </row>
    <row r="8" spans="1:11" ht="94.5" x14ac:dyDescent="0.25">
      <c r="A8" s="170"/>
      <c r="B8" s="90" t="s">
        <v>64</v>
      </c>
      <c r="C8" s="90" t="s">
        <v>65</v>
      </c>
      <c r="D8" s="90" t="s">
        <v>66</v>
      </c>
      <c r="E8" s="90" t="s">
        <v>67</v>
      </c>
      <c r="F8" s="171" t="s">
        <v>68</v>
      </c>
      <c r="G8" s="147" t="s">
        <v>17</v>
      </c>
      <c r="H8" s="147" t="s">
        <v>536</v>
      </c>
      <c r="I8" s="147" t="s">
        <v>537</v>
      </c>
      <c r="J8" s="147" t="s">
        <v>21</v>
      </c>
      <c r="K8" s="171" t="s">
        <v>69</v>
      </c>
    </row>
    <row r="9" spans="1:11" ht="150" customHeight="1" x14ac:dyDescent="0.25">
      <c r="A9" s="149" t="s">
        <v>70</v>
      </c>
      <c r="B9" s="149" t="s">
        <v>71</v>
      </c>
      <c r="C9" s="149" t="s">
        <v>72</v>
      </c>
      <c r="D9" s="172" t="str">
        <f>+IF(B9='11 FORMULAS'!$B$4,'11 FORMULAS'!$C$4,IF(B9='11 FORMULAS'!$B$6,'11 FORMULAS'!$C$6,IF(B9='11 FORMULAS'!$B$8,'11 FORMULAS'!$C$8,IF(B9='11 FORMULAS'!$B$10,'11 FORMULAS'!$C$10,""))))</f>
        <v/>
      </c>
      <c r="E9" s="119"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49" t="s">
        <v>73</v>
      </c>
      <c r="G9" s="149" t="s">
        <v>74</v>
      </c>
      <c r="H9" s="173" t="s">
        <v>75</v>
      </c>
      <c r="I9" s="173" t="s">
        <v>76</v>
      </c>
      <c r="J9" s="150" t="str">
        <f>(CONCATENATE(Tabla1[[#This Row],[¿QUÉ? 
IMPACTO]]," ","por",Tabla1[[#This Row],[¿CÓMO?
CAUSA INMEDIATA 
(Iniciar con la palabra 
por)]]," ","a causa de"," ",Tabla1[[#This Row],[¿PORQUÉ?
CAUSA RAÍZ
(Iniciar con 
debido a/a causa de)]]))</f>
        <v>Posibilidad de afectación reputacional por queja, reclamo o llamado de atención interno o externo. a causa de debido a un seguimiento inoportuno a la planeación institucional.</v>
      </c>
      <c r="K9" s="172"/>
    </row>
    <row r="10" spans="1:11" ht="150" customHeight="1" x14ac:dyDescent="0.25">
      <c r="A10" s="149" t="s">
        <v>77</v>
      </c>
      <c r="B10" s="149" t="s">
        <v>78</v>
      </c>
      <c r="C10" s="149" t="s">
        <v>79</v>
      </c>
      <c r="D10" s="172" t="str">
        <f>+IF(B10='11 FORMULAS'!$B$4,'11 FORMULAS'!$C$4,IF(B10='11 FORMULAS'!$B$6,'11 FORMULAS'!$C$6,IF(B10='11 FORMULAS'!$B$8,'11 FORMULAS'!$C$8,IF(B10='11 FORMULAS'!$B$10,'11 FORMULAS'!$C$10,""))))</f>
        <v/>
      </c>
      <c r="E10" s="119" t="str">
        <f>+IFERROR(VLOOKUP(B10,Tabla3[],2,0),"")</f>
        <v>Eventos relacionados con las conductas o comportamientos de los empleados que afectan la Integridad Pública</v>
      </c>
      <c r="F10" s="149" t="s">
        <v>80</v>
      </c>
      <c r="G10" s="149" t="s">
        <v>81</v>
      </c>
      <c r="H10" s="173" t="s">
        <v>82</v>
      </c>
      <c r="I10" s="173" t="s">
        <v>83</v>
      </c>
      <c r="J10" s="150" t="str">
        <f>(CONCATENATE(Tabla1[[#This Row],[¿QUÉ? 
IMPACTO]]," ","por",Tabla1[[#This Row],[¿CÓMO?
CAUSA INMEDIATA 
(Iniciar con la palabra 
por)]]," ","a causa de"," ",Tabla1[[#This Row],[¿PORQUÉ?
CAUSA RAÍZ
(Iniciar con 
debido a/a causa de)]]))</f>
        <v>Posibilidad  de efecto dañoso sobre el recurso público por    la generación de intereses moratorios en las planillas de seguridad social a causa de     no reporte de novedades dentro de los plazos establecidos</v>
      </c>
      <c r="K10" s="172"/>
    </row>
    <row r="11" spans="1:11" ht="150" customHeight="1" x14ac:dyDescent="0.25">
      <c r="A11" s="149" t="s">
        <v>84</v>
      </c>
      <c r="B11" s="149" t="s">
        <v>71</v>
      </c>
      <c r="C11" s="149" t="s">
        <v>85</v>
      </c>
      <c r="D11" s="172" t="str">
        <f>+IF(B11='11 FORMULAS'!$B$4,'11 FORMULAS'!$C$4,IF(B11='11 FORMULAS'!$B$6,'11 FORMULAS'!$C$6,IF(B11='11 FORMULAS'!$B$8,'11 FORMULAS'!$C$8,IF(B11='11 FORMULAS'!$B$10,'11 FORMULAS'!$C$10,""))))</f>
        <v/>
      </c>
      <c r="E11" s="119"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49" t="s">
        <v>73</v>
      </c>
      <c r="G11" s="149" t="s">
        <v>86</v>
      </c>
      <c r="H11" s="173" t="s">
        <v>87</v>
      </c>
      <c r="I11" s="173" t="s">
        <v>88</v>
      </c>
      <c r="J11" s="150" t="str">
        <f>(CONCATENATE(Tabla1[[#This Row],[¿QUÉ? 
IMPACTO]]," ","por",Tabla1[[#This Row],[¿CÓMO?
CAUSA INMEDIATA 
(Iniciar con la palabra 
por)]]," ","a causa de"," ",Tabla1[[#This Row],[¿PORQUÉ?
CAUSA RAÍZ
(Iniciar con 
debido a/a causa de)]]))</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K11" s="172"/>
    </row>
    <row r="12" spans="1:11" ht="150" customHeight="1" x14ac:dyDescent="0.25">
      <c r="A12" s="149" t="s">
        <v>89</v>
      </c>
      <c r="B12" s="149" t="s">
        <v>71</v>
      </c>
      <c r="C12" s="149" t="s">
        <v>85</v>
      </c>
      <c r="D12" s="172" t="str">
        <f>+IF(B12='11 FORMULAS'!$B$4,'11 FORMULAS'!$C$4,IF(B12='11 FORMULAS'!$B$6,'11 FORMULAS'!$C$6,IF(B12='11 FORMULAS'!$B$8,'11 FORMULAS'!$C$8,IF(B12='11 FORMULAS'!$B$10,'11 FORMULAS'!$C$10,""))))</f>
        <v/>
      </c>
      <c r="E12" s="119"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49" t="s">
        <v>73</v>
      </c>
      <c r="G12" s="149" t="s">
        <v>86</v>
      </c>
      <c r="H12" s="173" t="s">
        <v>90</v>
      </c>
      <c r="I12" s="173" t="s">
        <v>91</v>
      </c>
      <c r="J12" s="150" t="str">
        <f>(CONCATENATE(Tabla1[[#This Row],[¿QUÉ? 
IMPACTO]]," ","por",Tabla1[[#This Row],[¿CÓMO?
CAUSA INMEDIATA 
(Iniciar con la palabra 
por)]]," ","a causa de"," ",Tabla1[[#This Row],[¿PORQUÉ?
CAUSA RAÍZ
(Iniciar con 
debido a/a causa de)]]))</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K12" s="172"/>
    </row>
    <row r="13" spans="1:11" ht="150" customHeight="1" x14ac:dyDescent="0.25">
      <c r="A13" s="149" t="s">
        <v>92</v>
      </c>
      <c r="B13" s="149" t="s">
        <v>71</v>
      </c>
      <c r="C13" s="149" t="s">
        <v>72</v>
      </c>
      <c r="D13" s="172" t="str">
        <f>+IF(B13='11 FORMULAS'!$B$4,'11 FORMULAS'!$C$4,IF(B13='11 FORMULAS'!$B$6,'11 FORMULAS'!$C$6,IF(B13='11 FORMULAS'!$B$8,'11 FORMULAS'!$C$8,IF(B13='11 FORMULAS'!$B$10,'11 FORMULAS'!$C$10,""))))</f>
        <v/>
      </c>
      <c r="E13" s="119"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49" t="s">
        <v>73</v>
      </c>
      <c r="G13" s="149" t="s">
        <v>74</v>
      </c>
      <c r="H13" s="173" t="s">
        <v>93</v>
      </c>
      <c r="I13" s="173" t="s">
        <v>94</v>
      </c>
      <c r="J13" s="150" t="str">
        <f>(CONCATENATE(Tabla1[[#This Row],[¿QUÉ? 
IMPACTO]]," ","por",Tabla1[[#This Row],[¿CÓMO?
CAUSA INMEDIATA 
(Iniciar con la palabra 
por)]]," ","a causa de"," ",Tabla1[[#This Row],[¿PORQUÉ?
CAUSA RAÍZ
(Iniciar con 
debido a/a causa de)]]))</f>
        <v>Posibilidad de afectación reputacional por pérdida de credibilidad en el ejercicio auditor. a causa de  de emitir conclusiones, recomendaciones, hallazgos erróneos u omisiones en las actividades de auditoría interna.</v>
      </c>
      <c r="K13" s="172"/>
    </row>
    <row r="14" spans="1:11" ht="150" customHeight="1" x14ac:dyDescent="0.25">
      <c r="A14" s="149" t="s">
        <v>95</v>
      </c>
      <c r="B14" s="149" t="s">
        <v>71</v>
      </c>
      <c r="C14" s="149" t="s">
        <v>72</v>
      </c>
      <c r="D14" s="172" t="str">
        <f>+IF(B14='11 FORMULAS'!$B$4,'11 FORMULAS'!$C$4,IF(B14='11 FORMULAS'!$B$6,'11 FORMULAS'!$C$6,IF(B14='11 FORMULAS'!$B$8,'11 FORMULAS'!$C$8,IF(B14='11 FORMULAS'!$B$10,'11 FORMULAS'!$C$10,""))))</f>
        <v/>
      </c>
      <c r="E14" s="119"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49" t="s">
        <v>73</v>
      </c>
      <c r="G14" s="149" t="s">
        <v>74</v>
      </c>
      <c r="H14" s="173" t="s">
        <v>96</v>
      </c>
      <c r="I14" s="173" t="s">
        <v>97</v>
      </c>
      <c r="J14" s="150" t="str">
        <f>(CONCATENATE(Tabla1[[#This Row],[¿QUÉ? 
IMPACTO]]," ","por",Tabla1[[#This Row],[¿CÓMO?
CAUSA INMEDIATA 
(Iniciar con la palabra 
por)]]," ","a causa de"," ",Tabla1[[#This Row],[¿PORQUÉ?
CAUSA RAÍZ
(Iniciar con 
debido a/a causa de)]]))</f>
        <v>Posibilidad de afectación reputacional por la veracidad de la información a difundir. a causa de que las direcciones / dependencias entregan información parcial o sin confirmar y fuera de tiempos.</v>
      </c>
      <c r="K14" s="172"/>
    </row>
    <row r="15" spans="1:11" ht="150" customHeight="1" x14ac:dyDescent="0.25">
      <c r="A15" s="149" t="s">
        <v>98</v>
      </c>
      <c r="B15" s="149" t="s">
        <v>71</v>
      </c>
      <c r="C15" s="149" t="s">
        <v>72</v>
      </c>
      <c r="D15" s="172" t="str">
        <f>+IF(B15='11 FORMULAS'!$B$4,'11 FORMULAS'!$C$4,IF(B15='11 FORMULAS'!$B$6,'11 FORMULAS'!$C$6,IF(B15='11 FORMULAS'!$B$8,'11 FORMULAS'!$C$8,IF(B15='11 FORMULAS'!$B$10,'11 FORMULAS'!$C$10,""))))</f>
        <v/>
      </c>
      <c r="E15" s="119"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49" t="s">
        <v>73</v>
      </c>
      <c r="G15" s="149" t="s">
        <v>74</v>
      </c>
      <c r="H15" s="173" t="s">
        <v>99</v>
      </c>
      <c r="I15" s="173" t="s">
        <v>100</v>
      </c>
      <c r="J15" s="150" t="str">
        <f>(CONCATENATE(Tabla1[[#This Row],[¿QUÉ? 
IMPACTO]]," ","por",Tabla1[[#This Row],[¿CÓMO?
CAUSA INMEDIATA 
(Iniciar con la palabra 
por)]]," ","a causa de"," ",Tabla1[[#This Row],[¿PORQUÉ?
CAUSA RAÍZ
(Iniciar con 
debido a/a causa de)]]))</f>
        <v>Posibilidad de afectación reputacional por gestión del conflicto a causa de  la matriz de levantamiento de activos.</v>
      </c>
      <c r="K15" s="172"/>
    </row>
    <row r="16" spans="1:11" ht="150" customHeight="1" x14ac:dyDescent="0.25">
      <c r="A16" s="149" t="s">
        <v>101</v>
      </c>
      <c r="B16" s="149" t="s">
        <v>71</v>
      </c>
      <c r="C16" s="149" t="s">
        <v>72</v>
      </c>
      <c r="D16" s="172" t="str">
        <f>+IF(B16='11 FORMULAS'!$B$4,'11 FORMULAS'!$C$4,IF(B16='11 FORMULAS'!$B$6,'11 FORMULAS'!$C$6,IF(B16='11 FORMULAS'!$B$8,'11 FORMULAS'!$C$8,IF(B16='11 FORMULAS'!$B$10,'11 FORMULAS'!$C$10,""))))</f>
        <v/>
      </c>
      <c r="E16" s="119"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49" t="s">
        <v>80</v>
      </c>
      <c r="G16" s="149" t="s">
        <v>81</v>
      </c>
      <c r="H16" s="173" t="s">
        <v>102</v>
      </c>
      <c r="I16" s="173" t="s">
        <v>103</v>
      </c>
      <c r="J16" s="150" t="str">
        <f>(CONCATENATE(Tabla1[[#This Row],[¿QUÉ? 
IMPACTO]]," ","por",Tabla1[[#This Row],[¿CÓMO?
CAUSA INMEDIATA 
(Iniciar con la palabra 
por)]]," ","a causa de"," ",Tabla1[[#This Row],[¿PORQUÉ?
CAUSA RAÍZ
(Iniciar con 
debido a/a causa de)]]))</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K16" s="172"/>
    </row>
    <row r="17" spans="1:11" ht="150" customHeight="1" x14ac:dyDescent="0.25">
      <c r="A17" s="149" t="s">
        <v>104</v>
      </c>
      <c r="B17" s="149" t="s">
        <v>71</v>
      </c>
      <c r="C17" s="149" t="s">
        <v>72</v>
      </c>
      <c r="D17" s="172" t="str">
        <f>+IF(B17='11 FORMULAS'!$B$4,'11 FORMULAS'!$C$4,IF(B17='11 FORMULAS'!$B$6,'11 FORMULAS'!$C$6,IF(B17='11 FORMULAS'!$B$8,'11 FORMULAS'!$C$8,IF(B17='11 FORMULAS'!$B$10,'11 FORMULAS'!$C$10,""))))</f>
        <v/>
      </c>
      <c r="E17" s="119"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49" t="s">
        <v>73</v>
      </c>
      <c r="G17" s="149" t="s">
        <v>74</v>
      </c>
      <c r="H17" s="173" t="s">
        <v>105</v>
      </c>
      <c r="I17" s="173" t="s">
        <v>106</v>
      </c>
      <c r="J17" s="150" t="str">
        <f>(CONCATENATE(Tabla1[[#This Row],[¿QUÉ? 
IMPACTO]]," ","por",Tabla1[[#This Row],[¿CÓMO?
CAUSA INMEDIATA 
(Iniciar con la palabra 
por)]]," ","a causa de"," ",Tabla1[[#This Row],[¿PORQUÉ?
CAUSA RAÍZ
(Iniciar con 
debido a/a causa de)]]))</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K17" s="172"/>
    </row>
    <row r="18" spans="1:11" ht="150" customHeight="1" x14ac:dyDescent="0.25">
      <c r="A18" s="149" t="s">
        <v>107</v>
      </c>
      <c r="B18" s="149" t="s">
        <v>71</v>
      </c>
      <c r="C18" s="149" t="s">
        <v>72</v>
      </c>
      <c r="D18" s="172" t="str">
        <f>+IF(B18='11 FORMULAS'!$B$4,'11 FORMULAS'!$C$4,IF(B18='11 FORMULAS'!$B$6,'11 FORMULAS'!$C$6,IF(B18='11 FORMULAS'!$B$8,'11 FORMULAS'!$C$8,IF(B18='11 FORMULAS'!$B$10,'11 FORMULAS'!$C$10,""))))</f>
        <v/>
      </c>
      <c r="E18" s="119"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49" t="s">
        <v>73</v>
      </c>
      <c r="G18" s="149" t="s">
        <v>108</v>
      </c>
      <c r="H18" s="173" t="s">
        <v>109</v>
      </c>
      <c r="I18" s="173" t="s">
        <v>110</v>
      </c>
      <c r="J18" s="150" t="str">
        <f>(CONCATENATE(Tabla1[[#This Row],[¿QUÉ? 
IMPACTO]]," ","por",Tabla1[[#This Row],[¿CÓMO?
CAUSA INMEDIATA 
(Iniciar con la palabra 
por)]]," ","a causa de"," ",Tabla1[[#This Row],[¿PORQUÉ?
CAUSA RAÍZ
(Iniciar con 
debido a/a causa de)]]))</f>
        <v>Posibilidad de afectación económica por no reporte o no rendir informes sobre el uso o destinación de los recursos entregados a otros países y otras entidades a causa de la no entrega de los informes.</v>
      </c>
      <c r="K18" s="172"/>
    </row>
    <row r="19" spans="1:11" ht="150" customHeight="1" x14ac:dyDescent="0.25">
      <c r="A19" s="149" t="s">
        <v>111</v>
      </c>
      <c r="B19" s="149" t="s">
        <v>71</v>
      </c>
      <c r="C19" s="149" t="s">
        <v>112</v>
      </c>
      <c r="D19" s="172" t="str">
        <f>+IF(B19='11 FORMULAS'!$B$4,'11 FORMULAS'!$C$4,IF(B19='11 FORMULAS'!$B$6,'11 FORMULAS'!$C$6,IF(B19='11 FORMULAS'!$B$8,'11 FORMULAS'!$C$8,IF(B19='11 FORMULAS'!$B$10,'11 FORMULAS'!$C$10,""))))</f>
        <v/>
      </c>
      <c r="E19" s="119"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49" t="s">
        <v>73</v>
      </c>
      <c r="G19" s="149" t="s">
        <v>86</v>
      </c>
      <c r="H19" s="173" t="s">
        <v>113</v>
      </c>
      <c r="I19" s="173" t="s">
        <v>114</v>
      </c>
      <c r="J19" s="150" t="str">
        <f>(CONCATENATE(Tabla1[[#This Row],[¿QUÉ? 
IMPACTO]]," ","por",Tabla1[[#This Row],[¿CÓMO?
CAUSA INMEDIATA 
(Iniciar con la palabra 
por)]]," ","a causa de"," ",Tabla1[[#This Row],[¿PORQUÉ?
CAUSA RAÍZ
(Iniciar con 
debido a/a causa de)]]))</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K19" s="172"/>
    </row>
    <row r="20" spans="1:11" ht="150" customHeight="1" x14ac:dyDescent="0.25">
      <c r="A20" s="149" t="s">
        <v>115</v>
      </c>
      <c r="B20" s="149" t="s">
        <v>71</v>
      </c>
      <c r="C20" s="149" t="s">
        <v>72</v>
      </c>
      <c r="D20" s="172" t="str">
        <f>+IF(B20='11 FORMULAS'!$B$4,'11 FORMULAS'!$C$4,IF(B20='11 FORMULAS'!$B$6,'11 FORMULAS'!$C$6,IF(B20='11 FORMULAS'!$B$8,'11 FORMULAS'!$C$8,IF(B20='11 FORMULAS'!$B$10,'11 FORMULAS'!$C$10,""))))</f>
        <v/>
      </c>
      <c r="E20" s="119"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49" t="s">
        <v>73</v>
      </c>
      <c r="G20" s="149" t="s">
        <v>86</v>
      </c>
      <c r="H20" s="173" t="s">
        <v>116</v>
      </c>
      <c r="I20" s="173" t="s">
        <v>117</v>
      </c>
      <c r="J20" s="150" t="str">
        <f>(CONCATENATE(Tabla1[[#This Row],[¿QUÉ? 
IMPACTO]]," ","por",Tabla1[[#This Row],[¿CÓMO?
CAUSA INMEDIATA 
(Iniciar con la palabra 
por)]]," ","a causa de"," ",Tabla1[[#This Row],[¿PORQUÉ?
CAUSA RAÍZ
(Iniciar con 
debido a/a causa de)]]))</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K20" s="172"/>
    </row>
    <row r="21" spans="1:11" ht="150" customHeight="1" x14ac:dyDescent="0.25">
      <c r="A21" s="149" t="s">
        <v>535</v>
      </c>
      <c r="B21" s="149" t="s">
        <v>71</v>
      </c>
      <c r="C21" s="149" t="s">
        <v>72</v>
      </c>
      <c r="D21" s="172" t="str">
        <f>+IF(B21='11 FORMULAS'!$B$4,'11 FORMULAS'!$C$4,IF(B21='11 FORMULAS'!$B$6,'11 FORMULAS'!$C$6,IF(B21='11 FORMULAS'!$B$8,'11 FORMULAS'!$C$8,IF(B21='11 FORMULAS'!$B$10,'11 FORMULAS'!$C$10,""))))</f>
        <v/>
      </c>
      <c r="E21" s="119"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49" t="s">
        <v>73</v>
      </c>
      <c r="G21" s="149" t="s">
        <v>86</v>
      </c>
      <c r="H21" s="173" t="s">
        <v>119</v>
      </c>
      <c r="I21" s="173" t="s">
        <v>120</v>
      </c>
      <c r="J21" s="150" t="str">
        <f>(CONCATENATE(Tabla1[[#This Row],[¿QUÉ? 
IMPACTO]]," ","por",Tabla1[[#This Row],[¿CÓMO?
CAUSA INMEDIATA 
(Iniciar con la palabra 
por)]]," ","a causa de"," ",Tabla1[[#This Row],[¿PORQUÉ?
CAUSA RAÍZ
(Iniciar con 
debido a/a causa de)]]))</f>
        <v>Posibilidad de afectación económica y reputacional por pérdidas economicas, de imagen y/o reputacionales. a causa de ingreso de personal sin autorización y falta de control en en los prestamos de documentación y/o activos.</v>
      </c>
      <c r="K21" s="172"/>
    </row>
    <row r="22" spans="1:11" ht="150" customHeight="1" x14ac:dyDescent="0.25">
      <c r="A22" s="149" t="s">
        <v>118</v>
      </c>
      <c r="B22" s="149" t="s">
        <v>71</v>
      </c>
      <c r="C22" s="149" t="s">
        <v>72</v>
      </c>
      <c r="D22" s="172" t="str">
        <f>+IF(B22='11 FORMULAS'!$B$4,'11 FORMULAS'!$C$4,IF(B22='11 FORMULAS'!$B$6,'11 FORMULAS'!$C$6,IF(B22='11 FORMULAS'!$B$8,'11 FORMULAS'!$C$8,IF(B22='11 FORMULAS'!$B$10,'11 FORMULAS'!$C$10,""))))</f>
        <v/>
      </c>
      <c r="E22" s="119"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49" t="s">
        <v>73</v>
      </c>
      <c r="G22" s="149" t="s">
        <v>86</v>
      </c>
      <c r="H22" s="173" t="s">
        <v>122</v>
      </c>
      <c r="I22" s="173" t="s">
        <v>123</v>
      </c>
      <c r="J22" s="150" t="str">
        <f>(CONCATENATE(Tabla1[[#This Row],[¿QUÉ? 
IMPACTO]]," ","por",Tabla1[[#This Row],[¿CÓMO?
CAUSA INMEDIATA 
(Iniciar con la palabra 
por)]]," ","a causa de"," ",Tabla1[[#This Row],[¿PORQUÉ?
CAUSA RAÍZ
(Iniciar con 
debido a/a causa de)]]))</f>
        <v>Posibilidad de afectación económica y reputacional por susceptible a retrasos en los procesos internos por falta de la información requerida. a causa de  a ingreso de personal no autorizado y falta de control en el préstamo de expedientes.</v>
      </c>
      <c r="K22" s="172"/>
    </row>
    <row r="23" spans="1:11" ht="150" customHeight="1" x14ac:dyDescent="0.25">
      <c r="A23" s="149" t="s">
        <v>121</v>
      </c>
      <c r="B23" s="149" t="s">
        <v>71</v>
      </c>
      <c r="C23" s="149" t="s">
        <v>72</v>
      </c>
      <c r="D23" s="172" t="str">
        <f>+IF(B23='11 FORMULAS'!$B$4,'11 FORMULAS'!$C$4,IF(B23='11 FORMULAS'!$B$6,'11 FORMULAS'!$C$6,IF(B23='11 FORMULAS'!$B$8,'11 FORMULAS'!$C$8,IF(B23='11 FORMULAS'!$B$10,'11 FORMULAS'!$C$10,""))))</f>
        <v/>
      </c>
      <c r="E23" s="119" t="str">
        <f>+IFERROR(VLOOKUP(B23,Tabla3[],2,0),"")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3" s="149" t="s">
        <v>73</v>
      </c>
      <c r="G23" s="149" t="s">
        <v>86</v>
      </c>
      <c r="H23" s="173" t="s">
        <v>125</v>
      </c>
      <c r="I23" s="173" t="s">
        <v>126</v>
      </c>
      <c r="J23" s="150" t="str">
        <f>(CONCATENATE(Tabla1[[#This Row],[¿QUÉ? 
IMPACTO]]," ","por",Tabla1[[#This Row],[¿CÓMO?
CAUSA INMEDIATA 
(Iniciar con la palabra 
por)]]," ","a causa de"," ",Tabla1[[#This Row],[¿PORQUÉ?
CAUSA RAÍZ
(Iniciar con 
debido a/a causa de)]]))</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K23" s="172"/>
    </row>
    <row r="24" spans="1:11" ht="150" customHeight="1" x14ac:dyDescent="0.25">
      <c r="A24" s="149" t="s">
        <v>124</v>
      </c>
      <c r="B24" s="149" t="s">
        <v>71</v>
      </c>
      <c r="C24" s="149" t="s">
        <v>72</v>
      </c>
      <c r="D24" s="172" t="str">
        <f>+IF(B24='11 FORMULAS'!$B$4,'11 FORMULAS'!$C$4,IF(B24='11 FORMULAS'!$B$6,'11 FORMULAS'!$C$6,IF(B24='11 FORMULAS'!$B$8,'11 FORMULAS'!$C$8,IF(B24='11 FORMULAS'!$B$10,'11 FORMULAS'!$C$10,""))))</f>
        <v/>
      </c>
      <c r="E24" s="119" t="str">
        <f>+IFERROR(VLOOKUP(B24,Tabla3[],2,0),"")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4" s="149" t="s">
        <v>73</v>
      </c>
      <c r="G24" s="149" t="s">
        <v>86</v>
      </c>
      <c r="H24" s="173" t="s">
        <v>128</v>
      </c>
      <c r="I24" s="173" t="s">
        <v>129</v>
      </c>
      <c r="J24" s="150" t="str">
        <f>(CONCATENATE(Tabla1[[#This Row],[¿QUÉ? 
IMPACTO]]," ","por",Tabla1[[#This Row],[¿CÓMO?
CAUSA INMEDIATA 
(Iniciar con la palabra 
por)]]," ","a causa de"," ",Tabla1[[#This Row],[¿PORQUÉ?
CAUSA RAÍZ
(Iniciar con 
debido a/a causa de)]]))</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K24" s="172"/>
    </row>
    <row r="25" spans="1:11" ht="150" customHeight="1" x14ac:dyDescent="0.25">
      <c r="A25" s="149" t="s">
        <v>127</v>
      </c>
      <c r="B25" s="149" t="s">
        <v>71</v>
      </c>
      <c r="C25" s="149" t="s">
        <v>72</v>
      </c>
      <c r="D25" s="172" t="str">
        <f>+IF(B25='11 FORMULAS'!$B$4,'11 FORMULAS'!$C$4,IF(B25='11 FORMULAS'!$B$6,'11 FORMULAS'!$C$6,IF(B25='11 FORMULAS'!$B$8,'11 FORMULAS'!$C$8,IF(B25='11 FORMULAS'!$B$10,'11 FORMULAS'!$C$10,""))))</f>
        <v/>
      </c>
      <c r="E25" s="119" t="str">
        <f>+IFERROR(VLOOKUP(B25,Tabla3[],2,0),"")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5" s="149" t="s">
        <v>73</v>
      </c>
      <c r="G25" s="149" t="s">
        <v>86</v>
      </c>
      <c r="H25" s="173" t="s">
        <v>131</v>
      </c>
      <c r="I25" s="173" t="s">
        <v>132</v>
      </c>
      <c r="J25" s="150" t="str">
        <f>(CONCATENATE(Tabla1[[#This Row],[¿QUÉ? 
IMPACTO]]," ","por",Tabla1[[#This Row],[¿CÓMO?
CAUSA INMEDIATA 
(Iniciar con la palabra 
por)]]," ","a causa de"," ",Tabla1[[#This Row],[¿PORQUÉ?
CAUSA RAÍZ
(Iniciar con 
debido a/a causa de)]]))</f>
        <v>Posibilidad de afectación económica y reputacional por  el registro de información sin soportes completos y precisos. a causa de  suministro de información al proceso contable de forma incompleta o sin verificación.</v>
      </c>
      <c r="K25" s="172"/>
    </row>
    <row r="26" spans="1:11" ht="150" customHeight="1" x14ac:dyDescent="0.25">
      <c r="A26" s="149" t="s">
        <v>130</v>
      </c>
      <c r="B26" s="149" t="s">
        <v>71</v>
      </c>
      <c r="C26" s="149" t="s">
        <v>134</v>
      </c>
      <c r="D26" s="172" t="str">
        <f>+IF(B26='11 FORMULAS'!$B$4,'11 FORMULAS'!$C$4,IF(B26='11 FORMULAS'!$B$6,'11 FORMULAS'!$C$6,IF(B26='11 FORMULAS'!$B$8,'11 FORMULAS'!$C$8,IF(B26='11 FORMULAS'!$B$10,'11 FORMULAS'!$C$10,""))))</f>
        <v/>
      </c>
      <c r="E26" s="119" t="str">
        <f>+IFERROR(VLOOKUP(B26,Tabla3[],2,0),"")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6" s="149" t="s">
        <v>73</v>
      </c>
      <c r="G26" s="149" t="s">
        <v>86</v>
      </c>
      <c r="H26" s="173" t="s">
        <v>135</v>
      </c>
      <c r="I26" s="173" t="s">
        <v>136</v>
      </c>
      <c r="J26" s="150" t="str">
        <f>(CONCATENATE(Tabla1[[#This Row],[¿QUÉ? 
IMPACTO]]," ","por",Tabla1[[#This Row],[¿CÓMO?
CAUSA INMEDIATA 
(Iniciar con la palabra 
por)]]," ","a causa de"," ",Tabla1[[#This Row],[¿PORQUÉ?
CAUSA RAÍZ
(Iniciar con 
debido a/a causa de)]]))</f>
        <v>Posibilidad de afectación económica y reputacional por sanción y/o multa. a causa de  al incumplimiento legal de los requisitos del Sistema de gestión de seguridad y salud en el trabajo (SG-SST).</v>
      </c>
      <c r="K26" s="172"/>
    </row>
    <row r="27" spans="1:11" ht="150" customHeight="1" x14ac:dyDescent="0.25">
      <c r="A27" s="149" t="s">
        <v>133</v>
      </c>
      <c r="B27" s="149" t="s">
        <v>71</v>
      </c>
      <c r="C27" s="149" t="s">
        <v>72</v>
      </c>
      <c r="D27" s="172" t="str">
        <f>+IF(B27='11 FORMULAS'!$B$4,'11 FORMULAS'!$C$4,IF(B27='11 FORMULAS'!$B$6,'11 FORMULAS'!$C$6,IF(B27='11 FORMULAS'!$B$8,'11 FORMULAS'!$C$8,IF(B27='11 FORMULAS'!$B$10,'11 FORMULAS'!$C$10,""))))</f>
        <v/>
      </c>
      <c r="E27" s="119" t="str">
        <f>+IFERROR(VLOOKUP(B27,Tabla3[],2,0),"")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7" s="149" t="s">
        <v>73</v>
      </c>
      <c r="G27" s="149" t="s">
        <v>86</v>
      </c>
      <c r="H27" s="173" t="s">
        <v>90</v>
      </c>
      <c r="I27" s="173" t="s">
        <v>91</v>
      </c>
      <c r="J27" s="150" t="str">
        <f>(CONCATENATE(Tabla1[[#This Row],[¿QUÉ? 
IMPACTO]]," ","por",Tabla1[[#This Row],[¿CÓMO?
CAUSA INMEDIATA 
(Iniciar con la palabra 
por)]]," ","a causa de"," ",Tabla1[[#This Row],[¿PORQUÉ?
CAUSA RAÍZ
(Iniciar con 
debido a/a causa de)]]))</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K27" s="172"/>
    </row>
    <row r="28" spans="1:11" ht="150" customHeight="1" x14ac:dyDescent="0.25">
      <c r="A28" s="149" t="s">
        <v>137</v>
      </c>
      <c r="B28" s="149" t="s">
        <v>71</v>
      </c>
      <c r="C28" s="149" t="s">
        <v>72</v>
      </c>
      <c r="D28" s="172" t="str">
        <f>+IF(B28='11 FORMULAS'!$B$4,'11 FORMULAS'!$C$4,IF(B28='11 FORMULAS'!$B$6,'11 FORMULAS'!$C$6,IF(B28='11 FORMULAS'!$B$8,'11 FORMULAS'!$C$8,IF(B28='11 FORMULAS'!$B$10,'11 FORMULAS'!$C$10,""))))</f>
        <v/>
      </c>
      <c r="E28" s="119" t="str">
        <f>+IFERROR(VLOOKUP(B28,Tabla3[],2,0),"")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8" s="149" t="s">
        <v>73</v>
      </c>
      <c r="G28" s="149" t="s">
        <v>74</v>
      </c>
      <c r="H28" s="173" t="s">
        <v>139</v>
      </c>
      <c r="I28" s="173" t="s">
        <v>140</v>
      </c>
      <c r="J28" s="150" t="str">
        <f>(CONCATENATE(Tabla1[[#This Row],[¿QUÉ? 
IMPACTO]]," ","por",Tabla1[[#This Row],[¿CÓMO?
CAUSA INMEDIATA 
(Iniciar con la palabra 
por)]]," ","a causa de"," ",Tabla1[[#This Row],[¿PORQUÉ?
CAUSA RAÍZ
(Iniciar con 
debido a/a causa de)]]))</f>
        <v>Posibilidad de afectación reputacional por la reclamación de la DIAN y queja y/o sanción de los organismos de vigilancia y control. a causa de   incumplimiento en los requisitos para tramitar donaciones por parte de la Agencia.</v>
      </c>
      <c r="K28" s="172"/>
    </row>
    <row r="29" spans="1:11" ht="150" customHeight="1" x14ac:dyDescent="0.25">
      <c r="A29" s="149" t="s">
        <v>138</v>
      </c>
      <c r="B29" s="149" t="s">
        <v>71</v>
      </c>
      <c r="C29" s="149" t="s">
        <v>72</v>
      </c>
      <c r="D29" s="172" t="str">
        <f>+IF(B29='11 FORMULAS'!$B$4,'11 FORMULAS'!$C$4,IF(B29='11 FORMULAS'!$B$6,'11 FORMULAS'!$C$6,IF(B29='11 FORMULAS'!$B$8,'11 FORMULAS'!$C$8,IF(B29='11 FORMULAS'!$B$10,'11 FORMULAS'!$C$10,""))))</f>
        <v/>
      </c>
      <c r="E29" s="119" t="str">
        <f>+IFERROR(VLOOKUP(B29,Tabla3[],2,0),"")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9" s="149" t="s">
        <v>73</v>
      </c>
      <c r="G29" s="149" t="s">
        <v>74</v>
      </c>
      <c r="H29" s="173" t="s">
        <v>142</v>
      </c>
      <c r="I29" s="173" t="s">
        <v>143</v>
      </c>
      <c r="J29" s="150" t="str">
        <f>(CONCATENATE(Tabla1[[#This Row],[¿QUÉ? 
IMPACTO]]," ","por",Tabla1[[#This Row],[¿CÓMO?
CAUSA INMEDIATA 
(Iniciar con la palabra 
por)]]," ","a causa de"," ",Tabla1[[#This Row],[¿PORQUÉ?
CAUSA RAÍZ
(Iniciar con 
debido a/a causa de)]]))</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K29" s="172"/>
    </row>
    <row r="30" spans="1:11" ht="150" customHeight="1" x14ac:dyDescent="0.25">
      <c r="A30" s="149" t="s">
        <v>141</v>
      </c>
      <c r="B30" s="149" t="s">
        <v>145</v>
      </c>
      <c r="C30" s="149" t="s">
        <v>146</v>
      </c>
      <c r="D30" s="172" t="str">
        <f>+IF(B30='11 FORMULAS'!$B$4,'11 FORMULAS'!$C$4,IF(B30='11 FORMULAS'!$B$6,'11 FORMULAS'!$C$6,IF(B30='11 FORMULAS'!$B$8,'11 FORMULAS'!$C$8,IF(B30='11 FORMULAS'!$B$10,'11 FORMULAS'!$C$10,""))))</f>
        <v/>
      </c>
      <c r="E30" s="119" t="str">
        <f>+IFERROR(VLOOKUP(B30,Tabla3[],2,0),"")</f>
        <v>Eventos relacionados con la infraestructura tecnológica de la entidad.</v>
      </c>
      <c r="F30" s="149" t="s">
        <v>73</v>
      </c>
      <c r="G30" s="149" t="s">
        <v>74</v>
      </c>
      <c r="H30" s="173" t="s">
        <v>147</v>
      </c>
      <c r="I30" s="173" t="s">
        <v>148</v>
      </c>
      <c r="J30" s="150" t="str">
        <f>(CONCATENATE(Tabla1[[#This Row],[¿QUÉ? 
IMPACTO]]," ","por",Tabla1[[#This Row],[¿CÓMO?
CAUSA INMEDIATA 
(Iniciar con la palabra 
por)]]," ","a causa de"," ",Tabla1[[#This Row],[¿PORQUÉ?
CAUSA RAÍZ
(Iniciar con 
debido a/a causa de)]]))</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K30" s="172"/>
    </row>
    <row r="31" spans="1:11" ht="150" customHeight="1" x14ac:dyDescent="0.25">
      <c r="A31" s="149" t="s">
        <v>144</v>
      </c>
      <c r="B31" s="149" t="s">
        <v>150</v>
      </c>
      <c r="C31" s="149" t="s">
        <v>151</v>
      </c>
      <c r="D31" s="172" t="str">
        <f>+IF(B31='11 FORMULAS'!$B$4,'11 FORMULAS'!$C$4,IF(B31='11 FORMULAS'!$B$6,'11 FORMULAS'!$C$6,IF(B31='11 FORMULAS'!$B$8,'11 FORMULAS'!$C$8,IF(B31='11 FORMULAS'!$B$10,'11 FORMULAS'!$C$10,""))))</f>
        <v/>
      </c>
      <c r="E31" s="119" t="str">
        <f>+IFERROR(VLOOKUP(B31,Tabla3[],2,0),"")</f>
        <v>Eventos por situaciones externas que afectan la entidad.</v>
      </c>
      <c r="F31" s="149" t="s">
        <v>73</v>
      </c>
      <c r="G31" s="149" t="s">
        <v>74</v>
      </c>
      <c r="H31" s="173" t="s">
        <v>152</v>
      </c>
      <c r="I31" s="173" t="s">
        <v>153</v>
      </c>
      <c r="J31" s="150" t="str">
        <f>(CONCATENATE(Tabla1[[#This Row],[¿QUÉ? 
IMPACTO]]," ","por",Tabla1[[#This Row],[¿CÓMO?
CAUSA INMEDIATA 
(Iniciar con la palabra 
por)]]," ","a causa de"," ",Tabla1[[#This Row],[¿PORQUÉ?
CAUSA RAÍZ
(Iniciar con 
debido a/a causa de)]]))</f>
        <v>Posibilidad de afectación reputacional por obtener beneficios tributarios  a causa de que no cumplen con los requisitos del Decreto 1651 de 2021</v>
      </c>
      <c r="K31" s="172"/>
    </row>
    <row r="32" spans="1:11" ht="150" customHeight="1" x14ac:dyDescent="0.25">
      <c r="A32" s="149" t="s">
        <v>149</v>
      </c>
      <c r="B32" s="149" t="s">
        <v>71</v>
      </c>
      <c r="C32" s="149" t="s">
        <v>72</v>
      </c>
      <c r="D32" s="172" t="str">
        <f>+IF(B32='11 FORMULAS'!$B$4,'11 FORMULAS'!$C$4,IF(B32='11 FORMULAS'!$B$6,'11 FORMULAS'!$C$6,IF(B32='11 FORMULAS'!$B$8,'11 FORMULAS'!$C$8,IF(B32='11 FORMULAS'!$B$10,'11 FORMULAS'!$C$10,""))))</f>
        <v/>
      </c>
      <c r="E32" s="119" t="str">
        <f>+IFERROR(VLOOKUP(B32,Tabla3[],2,0),"")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2" s="149" t="s">
        <v>155</v>
      </c>
      <c r="G32" s="149" t="s">
        <v>86</v>
      </c>
      <c r="H32" s="173" t="s">
        <v>156</v>
      </c>
      <c r="I32" s="173" t="s">
        <v>157</v>
      </c>
      <c r="J32" s="150" t="str">
        <f>(CONCATENATE(Tabla1[[#This Row],[¿QUÉ? 
IMPACTO]]," ","por",Tabla1[[#This Row],[¿CÓMO?
CAUSA INMEDIATA 
(Iniciar con la palabra 
por)]]," ","a causa de"," ",Tabla1[[#This Row],[¿PORQUÉ?
CAUSA RAÍZ
(Iniciar con 
debido a/a causa de)]]))</f>
        <v>Posibilidad de afectación económica y reputacional porsanción, multa o penalidad a causa de   la indebida supervisión de los contratos o convenios suscritos</v>
      </c>
      <c r="K32" s="172"/>
    </row>
    <row r="33" spans="1:26" ht="150" customHeight="1" x14ac:dyDescent="0.25">
      <c r="A33" s="149" t="s">
        <v>154</v>
      </c>
      <c r="B33" s="149" t="s">
        <v>71</v>
      </c>
      <c r="C33" s="149" t="s">
        <v>72</v>
      </c>
      <c r="D33" s="172" t="str">
        <f>+IF(B33='11 FORMULAS'!$B$4,'11 FORMULAS'!$C$4,IF(B33='11 FORMULAS'!$B$6,'11 FORMULAS'!$C$6,IF(B33='11 FORMULAS'!$B$8,'11 FORMULAS'!$C$8,IF(B33='11 FORMULAS'!$B$10,'11 FORMULAS'!$C$10,""))))</f>
        <v/>
      </c>
      <c r="E33" s="119" t="str">
        <f>+IFERROR(VLOOKUP(B33,Tabla3[],2,0),"")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3" s="149" t="s">
        <v>155</v>
      </c>
      <c r="G33" s="149" t="s">
        <v>86</v>
      </c>
      <c r="H33" s="173" t="s">
        <v>159</v>
      </c>
      <c r="I33" s="173" t="s">
        <v>160</v>
      </c>
      <c r="J33" s="150" t="str">
        <f>(CONCATENATE(Tabla1[[#This Row],[¿QUÉ? 
IMPACTO]]," ","por",Tabla1[[#This Row],[¿CÓMO?
CAUSA INMEDIATA 
(Iniciar con la palabra 
por)]]," ","a causa de"," ",Tabla1[[#This Row],[¿PORQUÉ?
CAUSA RAÍZ
(Iniciar con 
debido a/a causa de)]]))</f>
        <v>Posibilidad de afectación económica y reputacional por una sanción de las autoridades competentes a causa de  favorecimiento indebido a un tercero con los recursos asignados de contrapartida</v>
      </c>
      <c r="K33" s="172"/>
    </row>
    <row r="34" spans="1:26" ht="150" customHeight="1" x14ac:dyDescent="0.25">
      <c r="A34" s="149" t="s">
        <v>158</v>
      </c>
      <c r="B34" s="149" t="s">
        <v>71</v>
      </c>
      <c r="C34" s="149" t="s">
        <v>72</v>
      </c>
      <c r="D34" s="172" t="str">
        <f>+IF(B34='11 FORMULAS'!$B$4,'11 FORMULAS'!$C$4,IF(B34='11 FORMULAS'!$B$6,'11 FORMULAS'!$C$6,IF(B34='11 FORMULAS'!$B$8,'11 FORMULAS'!$C$8,IF(B34='11 FORMULAS'!$B$10,'11 FORMULAS'!$C$10,""))))</f>
        <v/>
      </c>
      <c r="E34" s="119" t="str">
        <f>+IFERROR(VLOOKUP(B34,Tabla3[],2,0),"")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4" s="149" t="s">
        <v>155</v>
      </c>
      <c r="G34" s="149" t="s">
        <v>86</v>
      </c>
      <c r="H34" s="173" t="s">
        <v>159</v>
      </c>
      <c r="I34" s="173" t="s">
        <v>162</v>
      </c>
      <c r="J34" s="150" t="str">
        <f>(CONCATENATE(Tabla1[[#This Row],[¿QUÉ? 
IMPACTO]]," ","por",Tabla1[[#This Row],[¿CÓMO?
CAUSA INMEDIATA 
(Iniciar con la palabra 
por)]]," ","a causa de"," ",Tabla1[[#This Row],[¿PORQUÉ?
CAUSA RAÍZ
(Iniciar con 
debido a/a causa de)]]))</f>
        <v>Posibilidad de afectación económica y reputacional por una sanción de las autoridades competentes a causa de  la destinación indebida de los recursos asignados a una iniciativa de contrapartidas, durante su fase de ejecución</v>
      </c>
      <c r="K34" s="172"/>
    </row>
    <row r="35" spans="1:26" ht="150" customHeight="1" x14ac:dyDescent="0.25">
      <c r="A35" s="149" t="s">
        <v>161</v>
      </c>
      <c r="B35" s="149" t="s">
        <v>71</v>
      </c>
      <c r="C35" s="149" t="s">
        <v>72</v>
      </c>
      <c r="D35" s="172" t="str">
        <f>+IF(B35='11 FORMULAS'!$B$4,'11 FORMULAS'!$C$4,IF(B35='11 FORMULAS'!$B$6,'11 FORMULAS'!$C$6,IF(B35='11 FORMULAS'!$B$8,'11 FORMULAS'!$C$8,IF(B35='11 FORMULAS'!$B$10,'11 FORMULAS'!$C$10,""))))</f>
        <v/>
      </c>
      <c r="E35" s="119" t="str">
        <f>+IFERROR(VLOOKUP(B35,Tabla3[],2,0),"")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5" s="149" t="s">
        <v>155</v>
      </c>
      <c r="G35" s="149" t="s">
        <v>86</v>
      </c>
      <c r="H35" s="173" t="s">
        <v>164</v>
      </c>
      <c r="I35" s="173" t="s">
        <v>165</v>
      </c>
      <c r="J35" s="150" t="str">
        <f>(CONCATENATE(Tabla1[[#This Row],[¿QUÉ? 
IMPACTO]]," ","por",Tabla1[[#This Row],[¿CÓMO?
CAUSA INMEDIATA 
(Iniciar con la palabra 
por)]]," ","a causa de"," ",Tabla1[[#This Row],[¿PORQUÉ?
CAUSA RAÍZ
(Iniciar con 
debido a/a causa de)]]))</f>
        <v>Posibilidad de afectación económica y reputacional porPérdida, desvió y/o destinación indebida de los recursos asignados a la caja menor a causa de  incumplimiento de los lineamientos establecidos por la Agencia para la administración de la caja menor</v>
      </c>
      <c r="K35" s="172"/>
    </row>
    <row r="36" spans="1:26" ht="150" customHeight="1" x14ac:dyDescent="0.25">
      <c r="A36" s="149" t="s">
        <v>163</v>
      </c>
      <c r="B36" s="149" t="s">
        <v>78</v>
      </c>
      <c r="C36" s="149" t="s">
        <v>167</v>
      </c>
      <c r="D36" s="172" t="str">
        <f>+IF(B36='11 FORMULAS'!$B$4,'11 FORMULAS'!$C$4,IF(B36='11 FORMULAS'!$B$6,'11 FORMULAS'!$C$6,IF(B36='11 FORMULAS'!$B$8,'11 FORMULAS'!$C$8,IF(B36='11 FORMULAS'!$B$10,'11 FORMULAS'!$C$10,""))))</f>
        <v/>
      </c>
      <c r="E36" s="119" t="str">
        <f>+IFERROR(VLOOKUP(B36,Tabla3[],2,0),"")</f>
        <v>Eventos relacionados con las conductas o comportamientos de los empleados que afectan la Integridad Pública</v>
      </c>
      <c r="F36" s="149" t="s">
        <v>155</v>
      </c>
      <c r="G36" s="149" t="s">
        <v>86</v>
      </c>
      <c r="H36" s="173" t="s">
        <v>168</v>
      </c>
      <c r="I36" s="173" t="s">
        <v>169</v>
      </c>
      <c r="J36" s="150" t="str">
        <f>(CONCATENATE(Tabla1[[#This Row],[¿QUÉ? 
IMPACTO]]," ","por",Tabla1[[#This Row],[¿CÓMO?
CAUSA INMEDIATA 
(Iniciar con la palabra 
por)]]," ","a causa de"," ",Tabla1[[#This Row],[¿PORQUÉ?
CAUSA RAÍZ
(Iniciar con 
debido a/a causa de)]]))</f>
        <v>Posibilidad de afectación económica y reputacional por revocatoria de nombramiento y sanciones disciplinarias  a causa de incumplimiento en la verificación y  certificación de requisitos exigidos para el desempeño del empleo público</v>
      </c>
      <c r="K36" s="172"/>
    </row>
    <row r="37" spans="1:26" ht="150" customHeight="1" x14ac:dyDescent="0.25">
      <c r="A37" s="149" t="s">
        <v>166</v>
      </c>
      <c r="B37" s="149" t="s">
        <v>71</v>
      </c>
      <c r="C37" s="149" t="s">
        <v>72</v>
      </c>
      <c r="D37" s="172" t="str">
        <f>+IF(B37='11 FORMULAS'!$B$4,'11 FORMULAS'!$C$4,IF(B37='11 FORMULAS'!$B$6,'11 FORMULAS'!$C$6,IF(B37='11 FORMULAS'!$B$8,'11 FORMULAS'!$C$8,IF(B37='11 FORMULAS'!$B$10,'11 FORMULAS'!$C$10,""))))</f>
        <v/>
      </c>
      <c r="E37" s="119" t="str">
        <f>+IFERROR(VLOOKUP(B37,Tabla3[],2,0),"")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7" s="149" t="s">
        <v>155</v>
      </c>
      <c r="G37" s="149" t="s">
        <v>86</v>
      </c>
      <c r="H37" s="173" t="s">
        <v>171</v>
      </c>
      <c r="I37" s="173" t="s">
        <v>172</v>
      </c>
      <c r="J37" s="150" t="str">
        <f>(CONCATENATE(Tabla1[[#This Row],[¿QUÉ? 
IMPACTO]]," ","por",Tabla1[[#This Row],[¿CÓMO?
CAUSA INMEDIATA 
(Iniciar con la palabra 
por)]]," ","a causa de"," ",Tabla1[[#This Row],[¿PORQUÉ?
CAUSA RAÍZ
(Iniciar con 
debido a/a causa de)]]))</f>
        <v>Posibilidad de afectación económica y reputacional por la reclamación  del donante a causa de ausencia en el seguimiento frente a la entrega final de la donación realizada por el donante</v>
      </c>
      <c r="K37" s="172"/>
    </row>
    <row r="38" spans="1:26" ht="150" customHeight="1" x14ac:dyDescent="0.25">
      <c r="A38" s="149" t="s">
        <v>170</v>
      </c>
      <c r="B38" s="149" t="s">
        <v>78</v>
      </c>
      <c r="C38" s="149" t="s">
        <v>174</v>
      </c>
      <c r="D38" s="172" t="str">
        <f>+IF(B38='11 FORMULAS'!$B$4,'11 FORMULAS'!$C$4,IF(B38='11 FORMULAS'!$B$6,'11 FORMULAS'!$C$6,IF(B38='11 FORMULAS'!$B$8,'11 FORMULAS'!$C$8,IF(B38='11 FORMULAS'!$B$10,'11 FORMULAS'!$C$10,""))))</f>
        <v/>
      </c>
      <c r="E38" s="119" t="str">
        <f>+IFERROR(VLOOKUP(B38,Tabla3[],2,0),"")</f>
        <v>Eventos relacionados con las conductas o comportamientos de los empleados que afectan la Integridad Pública</v>
      </c>
      <c r="F38" s="149" t="s">
        <v>155</v>
      </c>
      <c r="G38" s="149" t="s">
        <v>86</v>
      </c>
      <c r="H38" s="173" t="s">
        <v>175</v>
      </c>
      <c r="I38" s="173" t="s">
        <v>176</v>
      </c>
      <c r="J38" s="150" t="str">
        <f>(CONCATENATE(Tabla1[[#This Row],[¿QUÉ? 
IMPACTO]]," ","por",Tabla1[[#This Row],[¿CÓMO?
CAUSA INMEDIATA 
(Iniciar con la palabra 
por)]]," ","a causa de"," ",Tabla1[[#This Row],[¿PORQUÉ?
CAUSA RAÍZ
(Iniciar con 
debido a/a causa de)]]))</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K38" s="172"/>
    </row>
    <row r="39" spans="1:26" ht="150" customHeight="1" x14ac:dyDescent="0.25">
      <c r="A39" s="149" t="s">
        <v>173</v>
      </c>
      <c r="B39" s="149" t="s">
        <v>78</v>
      </c>
      <c r="C39" s="149" t="s">
        <v>174</v>
      </c>
      <c r="E39" s="119" t="str">
        <f>+IFERROR(VLOOKUP(B39,Tabla3[],2,0),"")</f>
        <v>Eventos relacionados con las conductas o comportamientos de los empleados que afectan la Integridad Pública</v>
      </c>
      <c r="F39" s="149" t="s">
        <v>155</v>
      </c>
      <c r="G39" s="149" t="s">
        <v>86</v>
      </c>
      <c r="H39" s="173" t="s">
        <v>178</v>
      </c>
      <c r="I39" s="173" t="s">
        <v>179</v>
      </c>
      <c r="J39" s="150" t="str">
        <f>(CONCATENATE(Tabla1[[#This Row],[¿QUÉ? 
IMPACTO]]," ","por",Tabla1[[#This Row],[¿CÓMO?
CAUSA INMEDIATA 
(Iniciar con la palabra 
por)]]," ","a causa de"," ",Tabla1[[#This Row],[¿PORQUÉ?
CAUSA RAÍZ
(Iniciar con 
debido a/a causa de)]]))</f>
        <v>Posibilidad de afectación económica y reputacional por la insuficiencia de controles adecuados para el registro de cuentas por pagar y obligaciones a causa de  la falta de seguimiento y control por parte de los supervisores de contrato u orden de compra</v>
      </c>
      <c r="K39" s="172"/>
      <c r="Z39" s="174"/>
    </row>
    <row r="40" spans="1:26" ht="150" customHeight="1" x14ac:dyDescent="0.25">
      <c r="A40" s="149" t="s">
        <v>177</v>
      </c>
      <c r="F40" s="149"/>
      <c r="G40" s="149"/>
      <c r="H40" s="173"/>
      <c r="I40" s="173"/>
      <c r="J40" s="151" t="str">
        <f>(CONCATENATE(Tabla1[[#This Row],[¿QUÉ? 
IMPACTO]]," ","por",Tabla1[[#This Row],[¿CÓMO?
CAUSA INMEDIATA 
(Iniciar con la palabra 
por)]]," ","a causa de"," ",Tabla1[[#This Row],[¿PORQUÉ?
CAUSA RAÍZ
(Iniciar con 
debido a/a causa de)]]))</f>
        <v xml:space="preserve"> por a causa de </v>
      </c>
      <c r="K40" s="172"/>
      <c r="Z40" s="174"/>
    </row>
    <row r="41" spans="1:26" ht="150" customHeight="1" x14ac:dyDescent="0.25">
      <c r="A41" s="149" t="s">
        <v>180</v>
      </c>
      <c r="F41" s="149" t="s">
        <v>155</v>
      </c>
      <c r="G41" s="149" t="s">
        <v>86</v>
      </c>
      <c r="H41" s="173" t="s">
        <v>171</v>
      </c>
      <c r="I41" s="173" t="s">
        <v>172</v>
      </c>
      <c r="J41" s="151" t="e">
        <f>(CONCATENATE(Tabla1[[#This Row],[¿QUÉ? 
IMPACTO]]," ","por",Tabla1[[#This Row],[¿CÓMO?
CAUSA INMEDIATA 
(Iniciar con la palabra 
por)]]," ","a causa de"," ",Tabla1[[#This Row],[¿PORQUÉ?
CAUSA RAÍZ
(Iniciar con 
debido a/a causa de)]]))</f>
        <v>#VALUE!</v>
      </c>
      <c r="K41" s="172"/>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7" type="noConversion"/>
  <dataValidations count="2">
    <dataValidation type="list" allowBlank="1" showInputMessage="1" showErrorMessage="1" sqref="C9:C39">
      <formula1>INDIRECT(B9)</formula1>
    </dataValidation>
    <dataValidation type="list" allowBlank="1" showInputMessage="1" showErrorMessage="1" sqref="G9:G41">
      <formula1>INDIRECT($F9)</formula1>
    </dataValidation>
  </dataValidations>
  <printOptions horizontalCentered="1" verticalCentered="1"/>
  <pageMargins left="0.78740157480314965" right="0.78740157480314965" top="0.78740157480314965" bottom="0.78740157480314965" header="0.39370078740157483" footer="0.39370078740157483"/>
  <pageSetup paperSize="5" scale="45" orientation="landscape" r:id="rId1"/>
  <headerFooter alignWithMargins="0">
    <oddHeader>&amp;L&amp;"Arial,Negrita"&amp;12
MAPA DE RIESGOS&amp;"Arial,Normal" 
Código: E-FO-017 | Versión: 13 | Fecha: Enero 29 de 2026&amp;C&amp;G</oddHeader>
    <oddFooter xml:space="preserve">&amp;L&amp;"Arial,Normal"&amp;12Teléfono: (+57) 601 601 2424 | Línea gratuita: 01 8000 41 37 95 | Código postal: 110221
Dirección: Carrera 10 No. 97A - 13, Torre A, Piso 6 | Bogotá D.C., Colombia 
www.apccolombia.gov.co
Página: &amp;P/&amp;N
</oddFooter>
  </headerFooter>
  <rowBreaks count="7" manualBreakCount="7">
    <brk id="12" max="10" man="1"/>
    <brk id="17" max="10" man="1"/>
    <brk id="22" max="10" man="1"/>
    <brk id="27" max="10" man="1"/>
    <brk id="32" max="10" man="1"/>
    <brk id="36" max="10" man="1"/>
    <brk id="41" max="10" man="1"/>
  </rowBreaks>
  <legacyDrawing r:id="rId2"/>
  <legacyDrawingHF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'11 FORMULAS'!$A$38:$F$38</xm:f>
          </x14:formula1>
          <xm:sqref>B29:B39</xm:sqref>
        </x14:dataValidation>
        <x14:dataValidation type="list" allowBlank="1" showInputMessage="1" showErrorMessage="1">
          <x14:formula1>
            <xm:f>'11 FORMULAS'!$A$31:$E$31</xm:f>
          </x14:formula1>
          <xm:sqref>F29:F41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
  <sheetViews>
    <sheetView zoomScale="70" zoomScaleNormal="70" workbookViewId="0">
      <selection activeCell="C31" sqref="C31"/>
    </sheetView>
  </sheetViews>
  <sheetFormatPr baseColWidth="10" defaultColWidth="10.85546875" defaultRowHeight="12.75" x14ac:dyDescent="0.2"/>
  <cols>
    <col min="1" max="1" width="35.42578125" style="4" customWidth="1"/>
    <col min="2" max="2" width="47.140625" style="4" customWidth="1"/>
    <col min="3" max="3" width="42.42578125" style="4" customWidth="1"/>
    <col min="4" max="4" width="34.42578125" style="4" customWidth="1"/>
    <col min="5" max="5" width="27.140625" style="4" customWidth="1"/>
    <col min="6" max="6" width="45.42578125" style="4" customWidth="1"/>
    <col min="7" max="7" width="22.140625" style="4" customWidth="1"/>
    <col min="8" max="8" width="20.85546875" style="4" customWidth="1"/>
    <col min="9" max="9" width="46.42578125" style="4" customWidth="1"/>
    <col min="10" max="10" width="10.85546875" style="4"/>
    <col min="11" max="11" width="20.85546875" style="4" customWidth="1"/>
    <col min="12" max="12" width="14.42578125" style="4" customWidth="1"/>
    <col min="13" max="14" width="21" style="4" customWidth="1"/>
    <col min="15" max="16" width="10.85546875" style="4"/>
    <col min="17" max="17" width="14.85546875" style="4" customWidth="1"/>
    <col min="18" max="18" width="10.85546875" style="4"/>
    <col min="19" max="19" width="16.42578125" style="4" customWidth="1"/>
    <col min="20" max="20" width="10.85546875" style="4"/>
    <col min="21" max="21" width="30.140625" style="4" customWidth="1"/>
    <col min="22" max="16384" width="10.85546875" style="4"/>
  </cols>
  <sheetData>
    <row r="1" spans="1:23" ht="25.5" customHeight="1" x14ac:dyDescent="0.2">
      <c r="A1" s="49" t="s">
        <v>181</v>
      </c>
      <c r="B1" s="49"/>
      <c r="E1" s="48" t="s">
        <v>182</v>
      </c>
      <c r="F1" s="48"/>
      <c r="G1" s="48"/>
      <c r="H1" s="48"/>
    </row>
    <row r="2" spans="1:23" ht="48.95" customHeight="1" x14ac:dyDescent="0.2">
      <c r="B2" s="12" t="s">
        <v>63</v>
      </c>
      <c r="C2" s="12"/>
      <c r="E2" s="47" t="s">
        <v>183</v>
      </c>
      <c r="F2" s="47"/>
      <c r="G2" s="47"/>
      <c r="H2" s="47"/>
      <c r="I2" s="47"/>
      <c r="K2" s="47" t="s">
        <v>184</v>
      </c>
      <c r="L2" s="47"/>
      <c r="M2" s="47"/>
      <c r="N2" s="47"/>
      <c r="P2" s="47" t="s">
        <v>41</v>
      </c>
      <c r="Q2" s="47"/>
      <c r="S2" s="5" t="s">
        <v>185</v>
      </c>
      <c r="U2" s="5" t="s">
        <v>186</v>
      </c>
      <c r="W2" s="3" t="s">
        <v>187</v>
      </c>
    </row>
    <row r="3" spans="1:23" ht="29.25" thickBot="1" x14ac:dyDescent="0.25">
      <c r="A3" s="6" t="s">
        <v>188</v>
      </c>
      <c r="B3" s="12" t="s">
        <v>188</v>
      </c>
      <c r="C3" s="12" t="s">
        <v>63</v>
      </c>
      <c r="E3" s="7" t="s">
        <v>37</v>
      </c>
      <c r="F3" s="7" t="s">
        <v>39</v>
      </c>
      <c r="H3" s="7" t="s">
        <v>42</v>
      </c>
      <c r="I3" s="7" t="s">
        <v>44</v>
      </c>
      <c r="K3" s="5" t="s">
        <v>189</v>
      </c>
      <c r="L3" s="5" t="s">
        <v>190</v>
      </c>
      <c r="M3" s="5" t="s">
        <v>191</v>
      </c>
      <c r="N3" s="5" t="s">
        <v>192</v>
      </c>
      <c r="P3" s="10" t="s">
        <v>37</v>
      </c>
      <c r="Q3" s="10" t="s">
        <v>193</v>
      </c>
      <c r="S3" s="6" t="s">
        <v>194</v>
      </c>
      <c r="U3" s="1" t="s">
        <v>195</v>
      </c>
      <c r="W3" s="2" t="s">
        <v>196</v>
      </c>
    </row>
    <row r="4" spans="1:23" ht="38.25" x14ac:dyDescent="0.2">
      <c r="A4" s="11" t="s">
        <v>197</v>
      </c>
      <c r="B4" s="14" t="s">
        <v>197</v>
      </c>
      <c r="C4" s="24" t="s">
        <v>198</v>
      </c>
      <c r="E4" s="6" t="s">
        <v>199</v>
      </c>
      <c r="F4" s="8">
        <v>0.25</v>
      </c>
      <c r="H4" s="6" t="s">
        <v>200</v>
      </c>
      <c r="I4" s="8">
        <v>0.25</v>
      </c>
      <c r="K4" s="30" t="s">
        <v>201</v>
      </c>
      <c r="L4" s="6" t="s">
        <v>202</v>
      </c>
      <c r="M4" s="6" t="s">
        <v>203</v>
      </c>
      <c r="N4" s="6" t="s">
        <v>204</v>
      </c>
      <c r="P4" s="6" t="s">
        <v>199</v>
      </c>
      <c r="Q4" s="27" t="s">
        <v>205</v>
      </c>
      <c r="S4" s="6" t="s">
        <v>206</v>
      </c>
      <c r="U4" s="1" t="s">
        <v>207</v>
      </c>
      <c r="W4" s="2" t="s">
        <v>208</v>
      </c>
    </row>
    <row r="5" spans="1:23" ht="77.25" thickBot="1" x14ac:dyDescent="0.25">
      <c r="A5" s="11" t="s">
        <v>209</v>
      </c>
      <c r="B5" s="18"/>
      <c r="C5" s="25"/>
      <c r="E5" s="6" t="s">
        <v>210</v>
      </c>
      <c r="F5" s="8">
        <v>0.15</v>
      </c>
      <c r="H5" s="6" t="s">
        <v>211</v>
      </c>
      <c r="I5" s="8">
        <v>0.15</v>
      </c>
      <c r="K5" s="30" t="s">
        <v>212</v>
      </c>
      <c r="L5" s="6" t="s">
        <v>213</v>
      </c>
      <c r="M5" s="6" t="s">
        <v>214</v>
      </c>
      <c r="N5" s="6" t="s">
        <v>215</v>
      </c>
      <c r="P5" s="6" t="s">
        <v>210</v>
      </c>
      <c r="Q5" s="27" t="s">
        <v>205</v>
      </c>
      <c r="S5" s="6" t="s">
        <v>216</v>
      </c>
      <c r="U5" s="1" t="s">
        <v>217</v>
      </c>
      <c r="W5" s="2" t="s">
        <v>218</v>
      </c>
    </row>
    <row r="6" spans="1:23" ht="28.5" x14ac:dyDescent="0.2">
      <c r="A6" s="11" t="s">
        <v>219</v>
      </c>
      <c r="B6" s="20" t="s">
        <v>209</v>
      </c>
      <c r="C6" s="26" t="s">
        <v>220</v>
      </c>
      <c r="E6" s="6" t="s">
        <v>221</v>
      </c>
      <c r="F6" s="8">
        <v>0.1</v>
      </c>
      <c r="H6" s="6"/>
      <c r="I6" s="6"/>
      <c r="K6" s="30" t="s">
        <v>222</v>
      </c>
      <c r="L6" s="6"/>
      <c r="M6" s="6"/>
      <c r="N6" s="6" t="s">
        <v>223</v>
      </c>
      <c r="P6" s="6" t="s">
        <v>221</v>
      </c>
      <c r="Q6" s="27" t="s">
        <v>224</v>
      </c>
      <c r="S6" s="6" t="s">
        <v>225</v>
      </c>
      <c r="U6" s="1" t="s">
        <v>226</v>
      </c>
      <c r="W6" s="6"/>
    </row>
    <row r="7" spans="1:23" ht="13.5" thickBot="1" x14ac:dyDescent="0.25">
      <c r="A7" s="11" t="s">
        <v>227</v>
      </c>
      <c r="B7" s="18"/>
      <c r="C7" s="25"/>
      <c r="E7" s="6"/>
      <c r="F7" s="8"/>
      <c r="P7" s="9"/>
      <c r="S7" s="6" t="s">
        <v>228</v>
      </c>
    </row>
    <row r="8" spans="1:23" x14ac:dyDescent="0.2">
      <c r="A8" s="11" t="s">
        <v>229</v>
      </c>
      <c r="B8" s="20" t="s">
        <v>219</v>
      </c>
      <c r="C8" s="26" t="s">
        <v>78</v>
      </c>
      <c r="S8" s="6"/>
    </row>
    <row r="9" spans="1:23" ht="26.25" thickBot="1" x14ac:dyDescent="0.25">
      <c r="A9" s="11" t="s">
        <v>230</v>
      </c>
      <c r="B9" s="22"/>
      <c r="C9" s="25"/>
    </row>
    <row r="10" spans="1:23" x14ac:dyDescent="0.2">
      <c r="A10" s="11" t="s">
        <v>231</v>
      </c>
      <c r="B10" s="20" t="s">
        <v>227</v>
      </c>
      <c r="C10" s="26" t="s">
        <v>232</v>
      </c>
    </row>
    <row r="11" spans="1:23" ht="14.25" customHeight="1" thickBot="1" x14ac:dyDescent="0.25">
      <c r="A11" s="13"/>
      <c r="B11" s="18"/>
      <c r="C11" s="25"/>
    </row>
    <row r="12" spans="1:23" ht="14.25" customHeight="1" x14ac:dyDescent="0.2">
      <c r="B12" s="20" t="s">
        <v>229</v>
      </c>
      <c r="C12" s="21" t="s">
        <v>198</v>
      </c>
    </row>
    <row r="13" spans="1:23" ht="14.25" customHeight="1" x14ac:dyDescent="0.2">
      <c r="A13" s="28" t="s">
        <v>68</v>
      </c>
      <c r="B13" s="17"/>
      <c r="C13" s="16" t="s">
        <v>220</v>
      </c>
    </row>
    <row r="14" spans="1:23" ht="14.25" customHeight="1" x14ac:dyDescent="0.2">
      <c r="A14" s="29" t="s">
        <v>73</v>
      </c>
      <c r="B14" s="15"/>
      <c r="C14" s="16" t="s">
        <v>78</v>
      </c>
    </row>
    <row r="15" spans="1:23" ht="14.25" customHeight="1" x14ac:dyDescent="0.2">
      <c r="A15" s="29" t="s">
        <v>80</v>
      </c>
      <c r="B15" s="15"/>
      <c r="C15" s="16" t="s">
        <v>232</v>
      </c>
    </row>
    <row r="16" spans="1:23" ht="14.25" customHeight="1" x14ac:dyDescent="0.2">
      <c r="A16" s="29" t="s">
        <v>233</v>
      </c>
      <c r="B16" s="15"/>
      <c r="C16" s="16" t="s">
        <v>234</v>
      </c>
    </row>
    <row r="17" spans="1:5" ht="14.25" customHeight="1" thickBot="1" x14ac:dyDescent="0.25">
      <c r="A17" s="29" t="s">
        <v>235</v>
      </c>
      <c r="B17" s="18"/>
      <c r="C17" s="19"/>
    </row>
    <row r="18" spans="1:5" x14ac:dyDescent="0.2">
      <c r="A18" s="29" t="s">
        <v>236</v>
      </c>
      <c r="B18" s="20" t="s">
        <v>230</v>
      </c>
      <c r="C18" s="21" t="s">
        <v>198</v>
      </c>
    </row>
    <row r="19" spans="1:5" ht="14.25" customHeight="1" x14ac:dyDescent="0.2">
      <c r="B19" s="15"/>
      <c r="C19" s="16" t="s">
        <v>220</v>
      </c>
    </row>
    <row r="20" spans="1:5" ht="14.25" customHeight="1" x14ac:dyDescent="0.2">
      <c r="B20" s="15"/>
      <c r="C20" s="16" t="s">
        <v>78</v>
      </c>
    </row>
    <row r="21" spans="1:5" ht="14.25" customHeight="1" x14ac:dyDescent="0.2">
      <c r="B21" s="15"/>
      <c r="C21" s="16" t="s">
        <v>232</v>
      </c>
    </row>
    <row r="22" spans="1:5" ht="14.25" customHeight="1" x14ac:dyDescent="0.2">
      <c r="B22" s="15"/>
      <c r="C22" s="16" t="s">
        <v>234</v>
      </c>
    </row>
    <row r="23" spans="1:5" ht="14.25" customHeight="1" thickBot="1" x14ac:dyDescent="0.25">
      <c r="B23" s="22"/>
      <c r="C23" s="23"/>
    </row>
    <row r="24" spans="1:5" ht="14.25" customHeight="1" x14ac:dyDescent="0.2">
      <c r="B24" s="20" t="s">
        <v>231</v>
      </c>
      <c r="C24" s="21" t="s">
        <v>234</v>
      </c>
    </row>
    <row r="25" spans="1:5" ht="14.25" customHeight="1" x14ac:dyDescent="0.2">
      <c r="B25" s="15"/>
      <c r="C25" s="16" t="s">
        <v>220</v>
      </c>
    </row>
    <row r="26" spans="1:5" ht="14.25" customHeight="1" thickBot="1" x14ac:dyDescent="0.25">
      <c r="B26" s="18"/>
      <c r="C26" s="19"/>
    </row>
    <row r="30" spans="1:5" x14ac:dyDescent="0.2">
      <c r="A30" s="28"/>
      <c r="B30" s="28"/>
      <c r="C30" s="28"/>
      <c r="D30" s="28"/>
      <c r="E30" s="28"/>
    </row>
    <row r="31" spans="1:5" ht="25.5" x14ac:dyDescent="0.2">
      <c r="A31" s="4" t="s">
        <v>73</v>
      </c>
      <c r="B31" s="4" t="s">
        <v>80</v>
      </c>
      <c r="C31" s="4" t="s">
        <v>237</v>
      </c>
      <c r="D31" s="4" t="s">
        <v>155</v>
      </c>
      <c r="E31" s="4" t="s">
        <v>238</v>
      </c>
    </row>
    <row r="32" spans="1:5" ht="25.5" x14ac:dyDescent="0.2">
      <c r="A32" s="31" t="s">
        <v>108</v>
      </c>
      <c r="B32" s="4" t="s">
        <v>81</v>
      </c>
      <c r="C32" s="4" t="s">
        <v>239</v>
      </c>
      <c r="D32" s="4" t="s">
        <v>108</v>
      </c>
      <c r="E32" s="4" t="s">
        <v>108</v>
      </c>
    </row>
    <row r="33" spans="1:9" ht="25.5" x14ac:dyDescent="0.2">
      <c r="A33" s="31" t="s">
        <v>74</v>
      </c>
      <c r="B33" s="4" t="s">
        <v>240</v>
      </c>
      <c r="C33" s="4" t="s">
        <v>241</v>
      </c>
      <c r="D33" s="4" t="s">
        <v>74</v>
      </c>
      <c r="E33" s="4" t="s">
        <v>74</v>
      </c>
    </row>
    <row r="34" spans="1:9" ht="25.5" x14ac:dyDescent="0.2">
      <c r="A34" s="31" t="s">
        <v>86</v>
      </c>
      <c r="B34" s="4" t="s">
        <v>242</v>
      </c>
      <c r="C34" s="4" t="s">
        <v>243</v>
      </c>
      <c r="D34" s="4" t="s">
        <v>86</v>
      </c>
      <c r="E34" s="4" t="s">
        <v>86</v>
      </c>
    </row>
    <row r="35" spans="1:9" ht="25.5" x14ac:dyDescent="0.2">
      <c r="B35" s="4" t="s">
        <v>244</v>
      </c>
    </row>
    <row r="37" spans="1:9" x14ac:dyDescent="0.2">
      <c r="H37" s="4" t="s">
        <v>64</v>
      </c>
      <c r="I37" s="4" t="s">
        <v>245</v>
      </c>
    </row>
    <row r="38" spans="1:9" ht="102" x14ac:dyDescent="0.2">
      <c r="A38" s="37" t="s">
        <v>71</v>
      </c>
      <c r="B38" s="37" t="s">
        <v>246</v>
      </c>
      <c r="C38" s="37" t="s">
        <v>78</v>
      </c>
      <c r="D38" s="37" t="s">
        <v>145</v>
      </c>
      <c r="E38" s="37" t="s">
        <v>234</v>
      </c>
      <c r="F38" s="37" t="s">
        <v>150</v>
      </c>
      <c r="H38" s="4" t="s">
        <v>71</v>
      </c>
      <c r="I38" s="4" t="s">
        <v>247</v>
      </c>
    </row>
    <row r="39" spans="1:9" ht="63.75" x14ac:dyDescent="0.2">
      <c r="A39" s="33" t="s">
        <v>72</v>
      </c>
      <c r="B39" s="34" t="s">
        <v>248</v>
      </c>
      <c r="C39" s="34" t="s">
        <v>174</v>
      </c>
      <c r="D39" s="33" t="s">
        <v>249</v>
      </c>
      <c r="E39" s="33" t="s">
        <v>250</v>
      </c>
      <c r="F39" s="35" t="s">
        <v>151</v>
      </c>
      <c r="H39" s="4" t="s">
        <v>246</v>
      </c>
      <c r="I39" s="4" t="s">
        <v>251</v>
      </c>
    </row>
    <row r="40" spans="1:9" ht="38.25" x14ac:dyDescent="0.2">
      <c r="A40" s="33" t="s">
        <v>112</v>
      </c>
      <c r="B40" s="34" t="s">
        <v>252</v>
      </c>
      <c r="C40" s="34" t="s">
        <v>253</v>
      </c>
      <c r="D40" s="36" t="s">
        <v>254</v>
      </c>
      <c r="E40" s="36" t="s">
        <v>255</v>
      </c>
      <c r="F40" s="33" t="s">
        <v>256</v>
      </c>
      <c r="H40" s="4" t="s">
        <v>78</v>
      </c>
      <c r="I40" s="4" t="s">
        <v>257</v>
      </c>
    </row>
    <row r="41" spans="1:9" ht="28.5" x14ac:dyDescent="0.2">
      <c r="A41" s="33" t="s">
        <v>258</v>
      </c>
      <c r="B41" s="34" t="s">
        <v>259</v>
      </c>
      <c r="C41" s="34" t="s">
        <v>79</v>
      </c>
      <c r="D41" s="36" t="s">
        <v>260</v>
      </c>
      <c r="E41" s="36" t="s">
        <v>261</v>
      </c>
      <c r="F41" s="36" t="s">
        <v>262</v>
      </c>
      <c r="H41" s="4" t="s">
        <v>145</v>
      </c>
      <c r="I41" s="4" t="s">
        <v>263</v>
      </c>
    </row>
    <row r="42" spans="1:9" ht="28.5" x14ac:dyDescent="0.2">
      <c r="A42" s="33" t="s">
        <v>264</v>
      </c>
      <c r="B42" s="34" t="s">
        <v>265</v>
      </c>
      <c r="C42" s="34" t="s">
        <v>167</v>
      </c>
      <c r="D42" s="36" t="s">
        <v>266</v>
      </c>
      <c r="E42" s="36" t="s">
        <v>267</v>
      </c>
      <c r="F42" s="36" t="s">
        <v>268</v>
      </c>
      <c r="H42" s="4" t="s">
        <v>234</v>
      </c>
      <c r="I42" s="4" t="s">
        <v>269</v>
      </c>
    </row>
    <row r="43" spans="1:9" ht="25.5" x14ac:dyDescent="0.2">
      <c r="A43" s="33" t="s">
        <v>270</v>
      </c>
      <c r="B43" s="32"/>
      <c r="C43" s="32"/>
      <c r="D43" s="36" t="s">
        <v>146</v>
      </c>
      <c r="E43" s="32"/>
      <c r="F43" s="32"/>
      <c r="H43" s="4" t="s">
        <v>150</v>
      </c>
      <c r="I43" s="4" t="s">
        <v>271</v>
      </c>
    </row>
    <row r="44" spans="1:9" ht="28.5" x14ac:dyDescent="0.2">
      <c r="A44" s="33" t="s">
        <v>272</v>
      </c>
      <c r="B44" s="32"/>
      <c r="C44" s="32"/>
      <c r="D44" s="32"/>
      <c r="E44" s="32"/>
      <c r="F44" s="32"/>
    </row>
    <row r="45" spans="1:9" ht="42.75" x14ac:dyDescent="0.2">
      <c r="A45" s="33" t="s">
        <v>134</v>
      </c>
      <c r="B45" s="32"/>
      <c r="C45" s="32"/>
      <c r="D45" s="32"/>
      <c r="E45" s="32"/>
      <c r="F45" s="32"/>
    </row>
    <row r="46" spans="1:9" ht="28.5" x14ac:dyDescent="0.2">
      <c r="A46" s="33" t="s">
        <v>85</v>
      </c>
      <c r="B46" s="32"/>
      <c r="C46" s="32"/>
      <c r="D46" s="32"/>
      <c r="E46" s="32"/>
      <c r="F46" s="32"/>
    </row>
    <row r="47" spans="1:9" ht="28.5" x14ac:dyDescent="0.2">
      <c r="A47" s="33" t="s">
        <v>273</v>
      </c>
      <c r="B47" s="32"/>
      <c r="C47" s="32"/>
      <c r="D47" s="32"/>
      <c r="E47" s="32"/>
      <c r="F47" s="32"/>
    </row>
    <row r="50" spans="1:4" x14ac:dyDescent="0.2">
      <c r="A50" s="42" t="s">
        <v>274</v>
      </c>
      <c r="B50" s="43"/>
      <c r="C50" s="39" t="s">
        <v>275</v>
      </c>
      <c r="D50" s="39" t="s">
        <v>276</v>
      </c>
    </row>
    <row r="51" spans="1:4" ht="14.25" x14ac:dyDescent="0.2">
      <c r="A51" s="50" t="s">
        <v>277</v>
      </c>
      <c r="B51" s="38" t="s">
        <v>199</v>
      </c>
      <c r="C51" s="40">
        <v>0.25</v>
      </c>
      <c r="D51" s="40" t="s">
        <v>205</v>
      </c>
    </row>
    <row r="52" spans="1:4" ht="14.25" x14ac:dyDescent="0.2">
      <c r="A52" s="51"/>
      <c r="B52" s="38" t="s">
        <v>210</v>
      </c>
      <c r="C52" s="40">
        <v>0.15</v>
      </c>
      <c r="D52" s="40" t="s">
        <v>205</v>
      </c>
    </row>
    <row r="53" spans="1:4" ht="14.25" x14ac:dyDescent="0.2">
      <c r="A53" s="52"/>
      <c r="B53" s="38" t="s">
        <v>221</v>
      </c>
      <c r="C53" s="40">
        <v>0.1</v>
      </c>
      <c r="D53" s="40" t="s">
        <v>224</v>
      </c>
    </row>
    <row r="54" spans="1:4" ht="14.25" x14ac:dyDescent="0.2">
      <c r="A54" s="38" t="s">
        <v>278</v>
      </c>
      <c r="B54" s="38" t="s">
        <v>200</v>
      </c>
      <c r="C54" s="40">
        <v>0.25</v>
      </c>
    </row>
    <row r="55" spans="1:4" ht="23.25" x14ac:dyDescent="0.2">
      <c r="A55" s="38" t="s">
        <v>279</v>
      </c>
      <c r="B55" s="38" t="s">
        <v>211</v>
      </c>
      <c r="C55" s="40">
        <v>0.15</v>
      </c>
    </row>
    <row r="58" spans="1:4" ht="15" x14ac:dyDescent="0.25">
      <c r="A58" t="s">
        <v>280</v>
      </c>
      <c r="B58"/>
      <c r="C58"/>
    </row>
    <row r="59" spans="1:4" x14ac:dyDescent="0.2">
      <c r="A59" s="42" t="s">
        <v>274</v>
      </c>
      <c r="B59" s="43"/>
      <c r="C59" s="41" t="s">
        <v>245</v>
      </c>
    </row>
    <row r="60" spans="1:4" ht="80.45" customHeight="1" x14ac:dyDescent="0.2">
      <c r="A60" s="44" t="s">
        <v>189</v>
      </c>
      <c r="B60" s="33" t="s">
        <v>201</v>
      </c>
      <c r="C60" s="33" t="s">
        <v>281</v>
      </c>
    </row>
    <row r="61" spans="1:4" ht="34.5" customHeight="1" x14ac:dyDescent="0.2">
      <c r="A61" s="45"/>
      <c r="B61" s="33" t="s">
        <v>212</v>
      </c>
      <c r="C61" s="33" t="s">
        <v>282</v>
      </c>
    </row>
    <row r="62" spans="1:4" ht="34.5" customHeight="1" x14ac:dyDescent="0.2">
      <c r="A62" s="45"/>
      <c r="B62" s="33" t="s">
        <v>222</v>
      </c>
      <c r="C62" s="33" t="s">
        <v>283</v>
      </c>
    </row>
    <row r="63" spans="1:4" ht="34.5" customHeight="1" x14ac:dyDescent="0.2">
      <c r="A63" s="46"/>
      <c r="B63" s="33" t="s">
        <v>284</v>
      </c>
      <c r="C63" s="33" t="s">
        <v>285</v>
      </c>
    </row>
    <row r="64" spans="1:4" ht="12.75" customHeight="1" x14ac:dyDescent="0.2">
      <c r="A64" s="33" t="s">
        <v>190</v>
      </c>
      <c r="B64" s="33" t="s">
        <v>286</v>
      </c>
      <c r="C64" s="33" t="s">
        <v>287</v>
      </c>
    </row>
    <row r="65" spans="1:3" ht="12.75" customHeight="1" x14ac:dyDescent="0.2">
      <c r="A65" s="33"/>
      <c r="B65" s="33" t="s">
        <v>288</v>
      </c>
      <c r="C65" s="33"/>
    </row>
    <row r="66" spans="1:3" ht="14.25" x14ac:dyDescent="0.2">
      <c r="A66" s="33"/>
      <c r="B66" s="33" t="s">
        <v>289</v>
      </c>
      <c r="C66" s="33"/>
    </row>
    <row r="67" spans="1:3" ht="14.25" x14ac:dyDescent="0.2">
      <c r="A67" s="33"/>
      <c r="B67" s="33" t="s">
        <v>290</v>
      </c>
      <c r="C67" s="33"/>
    </row>
    <row r="68" spans="1:3" ht="14.25" x14ac:dyDescent="0.2">
      <c r="A68" s="33"/>
      <c r="B68" s="33" t="s">
        <v>291</v>
      </c>
      <c r="C68" s="33"/>
    </row>
    <row r="69" spans="1:3" ht="14.25" x14ac:dyDescent="0.2">
      <c r="A69" s="33"/>
      <c r="B69" s="33" t="s">
        <v>292</v>
      </c>
      <c r="C69" s="33"/>
    </row>
    <row r="70" spans="1:3" ht="12.75" customHeight="1" x14ac:dyDescent="0.2">
      <c r="A70" s="33" t="s">
        <v>293</v>
      </c>
      <c r="B70" s="33" t="s">
        <v>203</v>
      </c>
      <c r="C70" s="33" t="s">
        <v>294</v>
      </c>
    </row>
    <row r="71" spans="1:3" ht="12.75" customHeight="1" x14ac:dyDescent="0.2">
      <c r="A71" s="33"/>
      <c r="B71" s="33" t="s">
        <v>214</v>
      </c>
      <c r="C71" s="33"/>
    </row>
    <row r="72" spans="1:3" ht="14.25" x14ac:dyDescent="0.2">
      <c r="A72" s="33"/>
      <c r="B72" s="33" t="s">
        <v>295</v>
      </c>
      <c r="C72" s="33"/>
    </row>
    <row r="73" spans="1:3" ht="38.25" x14ac:dyDescent="0.2">
      <c r="A73" s="33" t="s">
        <v>296</v>
      </c>
      <c r="B73" s="33" t="s">
        <v>204</v>
      </c>
      <c r="C73" s="33" t="s">
        <v>297</v>
      </c>
    </row>
    <row r="74" spans="1:3" ht="69" customHeight="1" x14ac:dyDescent="0.2">
      <c r="A74" s="33"/>
      <c r="B74" s="33" t="s">
        <v>298</v>
      </c>
      <c r="C74" s="33" t="s">
        <v>299</v>
      </c>
    </row>
    <row r="75" spans="1:3" ht="34.5" customHeight="1" x14ac:dyDescent="0.2">
      <c r="A75" s="33"/>
      <c r="B75" s="33" t="s">
        <v>223</v>
      </c>
      <c r="C75" s="33" t="s">
        <v>300</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39"/>
  <sheetViews>
    <sheetView showGridLines="0" topLeftCell="B31" zoomScale="70" zoomScaleNormal="70" zoomScaleSheetLayoutView="100" workbookViewId="0">
      <selection activeCell="B31" sqref="B31"/>
    </sheetView>
  </sheetViews>
  <sheetFormatPr baseColWidth="10" defaultColWidth="14.42578125" defaultRowHeight="15.75" x14ac:dyDescent="0.25"/>
  <cols>
    <col min="1" max="1" width="15.42578125" style="81" customWidth="1"/>
    <col min="2" max="2" width="50" style="81" customWidth="1"/>
    <col min="3" max="3" width="28.42578125" style="81" customWidth="1"/>
    <col min="4" max="4" width="21.140625" style="81" customWidth="1"/>
    <col min="5" max="5" width="15.42578125" style="142" customWidth="1"/>
    <col min="6" max="6" width="16.42578125" style="81" customWidth="1"/>
    <col min="7" max="7" width="16.42578125" style="142" customWidth="1"/>
    <col min="8" max="8" width="11.140625" style="142" customWidth="1"/>
    <col min="9" max="9" width="10.42578125" style="142" customWidth="1"/>
    <col min="10" max="10" width="22.42578125" style="142" customWidth="1"/>
    <col min="11" max="11" width="10.140625" style="142" customWidth="1"/>
    <col min="12" max="12" width="12.42578125" style="142" customWidth="1"/>
    <col min="13" max="13" width="14" style="143" customWidth="1"/>
    <col min="14" max="14" width="13.42578125" style="143" customWidth="1"/>
    <col min="15" max="15" width="8" style="81" customWidth="1"/>
    <col min="16" max="16" width="21.42578125" style="81" customWidth="1"/>
    <col min="17" max="17" width="32.85546875" style="81" customWidth="1"/>
    <col min="18" max="18" width="9.42578125" style="81" customWidth="1"/>
    <col min="19" max="19" width="8.85546875" style="81" customWidth="1"/>
    <col min="20" max="20" width="17.85546875" style="81" customWidth="1"/>
    <col min="21" max="21" width="5.42578125" style="81" customWidth="1"/>
    <col min="22" max="22" width="14.140625" style="81" bestFit="1" customWidth="1"/>
    <col min="23" max="23" width="14.85546875" style="81" bestFit="1" customWidth="1"/>
    <col min="24" max="24" width="24.140625" style="81" customWidth="1"/>
    <col min="25" max="25" width="57.85546875" style="81" customWidth="1"/>
    <col min="26" max="29" width="24.140625" style="81" customWidth="1"/>
    <col min="30" max="256" width="11.42578125" style="81" customWidth="1"/>
    <col min="257" max="257" width="12.42578125" style="81" customWidth="1"/>
    <col min="258" max="258" width="47" style="81" customWidth="1"/>
    <col min="259" max="259" width="35" style="81" customWidth="1"/>
    <col min="260" max="16384" width="14.42578125" style="81"/>
  </cols>
  <sheetData>
    <row r="1" spans="1:25" x14ac:dyDescent="0.25">
      <c r="A1" s="77"/>
      <c r="B1" s="53" t="str">
        <f>+'2 CONTEXTO E IDENTIFICACIÓN'!A1</f>
        <v>MAPA DE RIESGOS</v>
      </c>
      <c r="C1" s="78"/>
      <c r="D1" s="79"/>
      <c r="E1" s="80"/>
      <c r="G1" s="80"/>
      <c r="H1" s="80"/>
      <c r="I1" s="80"/>
      <c r="J1" s="80"/>
      <c r="K1" s="80"/>
      <c r="L1" s="80"/>
      <c r="M1" s="82"/>
      <c r="N1" s="82"/>
    </row>
    <row r="2" spans="1:25" s="84" customFormat="1" ht="38.25" customHeight="1" x14ac:dyDescent="0.25">
      <c r="A2" s="77"/>
      <c r="B2" s="53"/>
      <c r="C2" s="83" t="str">
        <f>+'2 CONTEXTO E IDENTIFICACIÓN'!A2</f>
        <v>VERSIÓN:</v>
      </c>
      <c r="D2" s="83">
        <f>'2 CONTEXTO E IDENTIFICACIÓN'!B2</f>
        <v>1</v>
      </c>
      <c r="E2" s="80"/>
      <c r="G2" s="85" t="str">
        <f>+'2 CONTEXTO E IDENTIFICACIÓN'!$I$4</f>
        <v>Elaboración o Actualización:</v>
      </c>
      <c r="H2" s="86">
        <f>'2 CONTEXTO E IDENTIFICACIÓN'!J4</f>
        <v>0</v>
      </c>
      <c r="I2" s="80"/>
      <c r="J2" s="80"/>
      <c r="K2" s="80"/>
      <c r="L2" s="80"/>
      <c r="M2" s="82"/>
      <c r="N2" s="82"/>
    </row>
    <row r="3" spans="1:25" s="84" customFormat="1" x14ac:dyDescent="0.25">
      <c r="B3" s="54"/>
      <c r="C3" s="87"/>
      <c r="D3" s="87"/>
      <c r="E3" s="80"/>
      <c r="G3" s="88"/>
      <c r="H3" s="89"/>
      <c r="I3" s="80"/>
      <c r="J3" s="80"/>
      <c r="K3" s="80"/>
      <c r="L3" s="80"/>
      <c r="M3" s="82"/>
      <c r="N3" s="82"/>
    </row>
    <row r="4" spans="1:25" s="84" customFormat="1" ht="32.25" customHeight="1" x14ac:dyDescent="0.25">
      <c r="A4" s="90" t="s">
        <v>55</v>
      </c>
      <c r="B4" s="91" t="str">
        <f>'2 CONTEXTO E IDENTIFICACIÓN'!B4</f>
        <v>AGENCIA PRESIDENCIAL DE COOPERACIÓN INTERNACIONAL DE COLOMBIA APC COLOMBIA</v>
      </c>
      <c r="C4" s="92"/>
      <c r="D4" s="93"/>
      <c r="E4" s="80"/>
      <c r="G4" s="83" t="str">
        <f>+'2 CONTEXTO E IDENTIFICACIÓN'!$E$5</f>
        <v xml:space="preserve">Vigencia: </v>
      </c>
      <c r="H4" s="86">
        <f>'2 CONTEXTO E IDENTIFICACIÓN'!G5</f>
        <v>46023</v>
      </c>
      <c r="I4" s="94" t="s">
        <v>61</v>
      </c>
      <c r="J4" s="86">
        <f>'2 CONTEXTO E IDENTIFICACIÓN'!J5</f>
        <v>46387</v>
      </c>
      <c r="K4" s="80"/>
      <c r="L4" s="80"/>
      <c r="M4" s="82"/>
      <c r="N4" s="82"/>
    </row>
    <row r="5" spans="1:25" s="84" customFormat="1" ht="16.5" thickBot="1" x14ac:dyDescent="0.3">
      <c r="A5" s="90" t="s">
        <v>57</v>
      </c>
      <c r="B5" s="95">
        <f>'2 CONTEXTO E IDENTIFICACIÓN'!F4</f>
        <v>0</v>
      </c>
      <c r="C5" s="96"/>
      <c r="D5" s="96"/>
      <c r="E5" s="87"/>
      <c r="F5" s="87"/>
    </row>
    <row r="6" spans="1:25" s="84" customFormat="1" ht="16.5" thickBot="1" x14ac:dyDescent="0.3">
      <c r="A6" s="97"/>
      <c r="B6" s="98"/>
      <c r="C6" s="99"/>
      <c r="D6" s="99"/>
      <c r="E6" s="87"/>
      <c r="F6" s="87"/>
      <c r="G6" s="100" t="s">
        <v>301</v>
      </c>
      <c r="H6" s="101"/>
      <c r="I6" s="101"/>
      <c r="J6" s="101"/>
      <c r="K6" s="101"/>
      <c r="L6" s="101"/>
      <c r="M6" s="101"/>
      <c r="N6" s="102"/>
    </row>
    <row r="7" spans="1:25" s="108" customFormat="1" ht="16.5" thickBot="1" x14ac:dyDescent="0.3">
      <c r="A7" s="103"/>
      <c r="B7" s="104"/>
      <c r="C7" s="100" t="s">
        <v>302</v>
      </c>
      <c r="D7" s="101"/>
      <c r="E7" s="101"/>
      <c r="F7" s="102"/>
      <c r="G7" s="105" t="s">
        <v>30</v>
      </c>
      <c r="H7" s="106"/>
      <c r="I7" s="107"/>
      <c r="J7" s="105" t="s">
        <v>32</v>
      </c>
      <c r="K7" s="106"/>
      <c r="L7" s="107"/>
      <c r="M7" s="105" t="s">
        <v>303</v>
      </c>
      <c r="N7" s="107"/>
      <c r="P7" s="55" t="s">
        <v>304</v>
      </c>
      <c r="Q7" s="56"/>
      <c r="R7" s="57"/>
      <c r="S7" s="57"/>
      <c r="T7" s="58"/>
      <c r="V7" s="59" t="s">
        <v>305</v>
      </c>
      <c r="W7" s="60"/>
      <c r="X7" s="60"/>
      <c r="Y7" s="61"/>
    </row>
    <row r="8" spans="1:25" s="108" customFormat="1" ht="31.5" x14ac:dyDescent="0.25">
      <c r="A8" s="109" t="s">
        <v>306</v>
      </c>
      <c r="B8" s="110" t="s">
        <v>307</v>
      </c>
      <c r="C8" s="111" t="s">
        <v>29</v>
      </c>
      <c r="D8" s="97" t="s">
        <v>308</v>
      </c>
      <c r="E8" s="112" t="s">
        <v>309</v>
      </c>
      <c r="F8" s="113" t="s">
        <v>310</v>
      </c>
      <c r="G8" s="114" t="s">
        <v>30</v>
      </c>
      <c r="H8" s="115" t="s">
        <v>311</v>
      </c>
      <c r="I8" s="116" t="s">
        <v>312</v>
      </c>
      <c r="J8" s="114" t="s">
        <v>32</v>
      </c>
      <c r="K8" s="115" t="s">
        <v>311</v>
      </c>
      <c r="L8" s="116" t="s">
        <v>312</v>
      </c>
      <c r="M8" s="114" t="s">
        <v>313</v>
      </c>
      <c r="N8" s="117" t="s">
        <v>314</v>
      </c>
      <c r="P8" s="62" t="s">
        <v>312</v>
      </c>
      <c r="Q8" s="63" t="s">
        <v>308</v>
      </c>
      <c r="R8" s="64" t="s">
        <v>315</v>
      </c>
      <c r="S8" s="64" t="s">
        <v>316</v>
      </c>
      <c r="T8" s="65" t="s">
        <v>205</v>
      </c>
      <c r="V8" s="62" t="s">
        <v>312</v>
      </c>
      <c r="W8" s="63" t="s">
        <v>317</v>
      </c>
      <c r="X8" s="63" t="s">
        <v>318</v>
      </c>
      <c r="Y8" s="65" t="s">
        <v>32</v>
      </c>
    </row>
    <row r="9" spans="1:25" ht="107.25" customHeight="1" x14ac:dyDescent="0.25">
      <c r="A9" s="118" t="str">
        <f>'2 CONTEXTO E IDENTIFICACIÓN'!A9</f>
        <v>R1</v>
      </c>
      <c r="B9" s="119" t="str">
        <f>+'2 CONTEXTO E IDENTIFICACIÓN'!J9</f>
        <v>Posibilidad de afectación reputacional por queja, reclamo o llamado de atención interno o externo. a causa de debido a un seguimiento inoportuno a la planeación institucional.</v>
      </c>
      <c r="C9" s="120">
        <v>144</v>
      </c>
      <c r="D9" s="121" t="str">
        <f t="shared" ref="D9:D28" si="0">+IF(C9="","",IF(C9&lt;=$S$9,$Q$9,IF(C9&lt;=$S$10,$Q$10,IF(C9&lt;=$S$11,$Q$11,IF(C9&lt;=$S$12,$Q$12,IF(C9&gt;=$R$13,$Q$13,""))))))</f>
        <v>La actividad que conlleva el riesgo se ejecuta de 24 a 500 veces por año</v>
      </c>
      <c r="E9" s="122">
        <f t="shared" ref="E9:E28" si="1">+IF(D9="","",IF(D9=$Q$9,$T$9,IF(D9=$Q$10,$T$10,IF(D9=$Q$11,$T$11,IF(D9=$Q$12,$T$12,IF(D9=$Q$13,$T$13))))))</f>
        <v>0.6</v>
      </c>
      <c r="F9" s="123" t="str">
        <f t="shared" ref="F9:F28" si="2">+IF(D9="","",IF(D9=$Q$9,$P$9,IF(D9=$Q$10,$P$10,IF(D9=$Q$11,$P$11,IF(D9=$Q$12,$P$12,IF(D9=$Q$13,$P$13))))))</f>
        <v>Media</v>
      </c>
      <c r="G9" s="124" t="s">
        <v>319</v>
      </c>
      <c r="H9" s="70">
        <f>+IF(G9="","",IF(G9="N/A","",IF(OR(G9=$X$9,G9=$Y$9),$W$9,IF(OR(G9=$X$10,G9=$Y$10),$W$10,IF(OR(G9=$X$11,G9=$Y$11),$W$11,IF(OR(G9=$X$12,G9=$Y$12),$W$12,IF(OR(G9=$X$13,G9=$Y$13),$W$13)))))))</f>
        <v>0.4</v>
      </c>
      <c r="I9" s="125" t="str">
        <f t="shared" ref="I9:I28" si="3">+IF(G9="","",IF(G9="N/A","",IF(OR(G9=$X$9,G9=$Y$9),$V$9,IF(OR(G9=$X$10,G9=$Y$10),$V$10,IF(OR(G9=$X$11,G9=$Y$11),$V$11,IF(OR(G9=$X$12,G9=$Y$12),$V$12,IF(OR(G9=$X$13,G9=$Y$13),$V$13)))))))</f>
        <v>Menor</v>
      </c>
      <c r="J9" s="124" t="s">
        <v>320</v>
      </c>
      <c r="K9" s="70">
        <f t="shared" ref="K9:K28" si="4">+IF(J9="","",IF(J9="N/A","",IF(OR(J9=$X$9,J9=$Y$9),$W$9,IF(OR(J9=$X$10,J9=$Y$10),$W$10,IF(OR(J9=$X$11,J9=$Y$11),$W$11,IF(OR(J9=$X$12,J9=$Y$12),$W$12,IF(OR(J9=$X$13,J9=$Y$13),$W$13)))))))</f>
        <v>0.6</v>
      </c>
      <c r="L9" s="125" t="str">
        <f t="shared" ref="L9:L28" si="5">+IF(J9="","",IF(J9="N/A","",IF(OR(J9=$X$9,J9=$Y$9),$V$9,IF(OR(J9=$X$10,J9=$Y$10),$V$10,IF(OR(J9=$X$11,J9=$Y$11),$V$11,IF(OR(J9=$X$12,J9=$Y$12),$V$12,IF(OR(J9=$X$13,J9=$Y$13),$V$13)))))))</f>
        <v>Moderado</v>
      </c>
      <c r="M9" s="126">
        <f>+IF(H9="",K9,IF(K9="",H9,IF(H9&gt;K9,H9,K9)))</f>
        <v>0.6</v>
      </c>
      <c r="N9" s="127" t="str">
        <f>+IF(M9="","",IF(M9=$W$9,$V$9,IF(M9=$W$10,$V$10,IF(M9=$W$11,$V$11,IF(M9=$W$12,$V$12,IF(M9=$W$13,$V$13))))))</f>
        <v>Moderado</v>
      </c>
      <c r="P9" s="66" t="s">
        <v>321</v>
      </c>
      <c r="Q9" s="67" t="s">
        <v>322</v>
      </c>
      <c r="R9" s="68">
        <v>0</v>
      </c>
      <c r="S9" s="68">
        <v>2</v>
      </c>
      <c r="T9" s="69">
        <v>0.2</v>
      </c>
      <c r="V9" s="66" t="s">
        <v>323</v>
      </c>
      <c r="W9" s="70">
        <v>0.2</v>
      </c>
      <c r="X9" s="67" t="s">
        <v>324</v>
      </c>
      <c r="Y9" s="71" t="s">
        <v>325</v>
      </c>
    </row>
    <row r="10" spans="1:25" ht="107.25" customHeight="1" x14ac:dyDescent="0.25">
      <c r="A10" s="118" t="str">
        <f>'2 CONTEXTO E IDENTIFICACIÓN'!A10</f>
        <v>R2</v>
      </c>
      <c r="B10" s="119" t="str">
        <f>+'2 CONTEXTO E IDENTIFICACIÓN'!J10</f>
        <v>Posibilidad  de efecto dañoso sobre el recurso público por    la generación de intereses moratorios en las planillas de seguridad social a causa de     no reporte de novedades dentro de los plazos establecidos</v>
      </c>
      <c r="C10" s="128">
        <v>15</v>
      </c>
      <c r="D10" s="121" t="str">
        <f t="shared" si="0"/>
        <v>La actividad que conlleva el riesgo se ejecuta de 3 a 24 veces por año</v>
      </c>
      <c r="E10" s="122">
        <f t="shared" si="1"/>
        <v>0.4</v>
      </c>
      <c r="F10" s="123" t="str">
        <f t="shared" si="2"/>
        <v>Baja</v>
      </c>
      <c r="G10" s="124" t="s">
        <v>324</v>
      </c>
      <c r="H10" s="70">
        <f t="shared" ref="H10:H28" si="6">+IF(G10="","",IF(G10="N/A","",IF(OR(G10=$X$9,G10=$Y$9),$W$9,IF(OR(G10=$X$10,G10=$Y$10),$W$10,IF(OR(G10=$X$11,G10=$Y$11),$W$11,IF(OR(G10=$X$12,G10=$Y$12),$W$12,IF(OR(G10=$X$13,G10=$Y$13),$W$13)))))))</f>
        <v>0.2</v>
      </c>
      <c r="I10" s="125" t="str">
        <f t="shared" si="3"/>
        <v>Leve</v>
      </c>
      <c r="J10" s="124" t="s">
        <v>325</v>
      </c>
      <c r="K10" s="70">
        <f t="shared" si="4"/>
        <v>0.2</v>
      </c>
      <c r="L10" s="125" t="str">
        <f t="shared" si="5"/>
        <v>Leve</v>
      </c>
      <c r="M10" s="126">
        <f>+IF(H10="",K10,IF(K10="",H10,IF(H10&gt;K10,H10,K10)))</f>
        <v>0.2</v>
      </c>
      <c r="N10" s="127" t="str">
        <f t="shared" ref="N10:N28" si="7">+IF(M10="","",IF(M10=$W$9,$V$9,IF(M10=$W$10,$V$10,IF(M10=$W$11,$V$11,IF(M10=$W$12,$V$12,IF(M10=$W$13,$V$13))))))</f>
        <v>Leve</v>
      </c>
      <c r="P10" s="72" t="s">
        <v>326</v>
      </c>
      <c r="Q10" s="67" t="s">
        <v>327</v>
      </c>
      <c r="R10" s="68">
        <v>3</v>
      </c>
      <c r="S10" s="68">
        <v>24</v>
      </c>
      <c r="T10" s="69">
        <v>0.4</v>
      </c>
      <c r="V10" s="72" t="s">
        <v>328</v>
      </c>
      <c r="W10" s="70">
        <v>0.4</v>
      </c>
      <c r="X10" s="67" t="s">
        <v>319</v>
      </c>
      <c r="Y10" s="73" t="s">
        <v>329</v>
      </c>
    </row>
    <row r="11" spans="1:25" ht="107.25" customHeight="1" x14ac:dyDescent="0.25">
      <c r="A11" s="118" t="str">
        <f>'2 CONTEXTO E IDENTIFICACIÓN'!A11</f>
        <v>R3</v>
      </c>
      <c r="B11" s="119" t="str">
        <f>+'2 CONTEXTO E IDENTIFICACIÓN'!J11</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C11" s="129">
        <v>140</v>
      </c>
      <c r="D11" s="121" t="str">
        <f t="shared" si="0"/>
        <v>La actividad que conlleva el riesgo se ejecuta de 24 a 500 veces por año</v>
      </c>
      <c r="E11" s="122">
        <f t="shared" si="1"/>
        <v>0.6</v>
      </c>
      <c r="F11" s="123" t="str">
        <f t="shared" si="2"/>
        <v>Media</v>
      </c>
      <c r="G11" s="124" t="s">
        <v>319</v>
      </c>
      <c r="H11" s="70">
        <f t="shared" si="6"/>
        <v>0.4</v>
      </c>
      <c r="I11" s="125" t="str">
        <f t="shared" si="3"/>
        <v>Menor</v>
      </c>
      <c r="J11" s="124" t="s">
        <v>329</v>
      </c>
      <c r="K11" s="70">
        <f t="shared" si="4"/>
        <v>0.4</v>
      </c>
      <c r="L11" s="125" t="str">
        <f t="shared" si="5"/>
        <v>Menor</v>
      </c>
      <c r="M11" s="126">
        <f t="shared" ref="M11:M28" si="8">+IF(H11="",K11,IF(K11="",H11,IF(H11&gt;K11,H11,K11)))</f>
        <v>0.4</v>
      </c>
      <c r="N11" s="127" t="str">
        <f t="shared" si="7"/>
        <v>Menor</v>
      </c>
      <c r="P11" s="74" t="s">
        <v>330</v>
      </c>
      <c r="Q11" s="67" t="s">
        <v>331</v>
      </c>
      <c r="R11" s="68">
        <v>25</v>
      </c>
      <c r="S11" s="68">
        <v>500</v>
      </c>
      <c r="T11" s="69">
        <v>0.6</v>
      </c>
      <c r="V11" s="74" t="s">
        <v>332</v>
      </c>
      <c r="W11" s="70">
        <v>0.6</v>
      </c>
      <c r="X11" s="67" t="s">
        <v>333</v>
      </c>
      <c r="Y11" s="73" t="s">
        <v>320</v>
      </c>
    </row>
    <row r="12" spans="1:25" ht="107.25" customHeight="1" x14ac:dyDescent="0.25">
      <c r="A12" s="118" t="str">
        <f>'2 CONTEXTO E IDENTIFICACIÓN'!A12</f>
        <v>R4</v>
      </c>
      <c r="B12" s="119" t="str">
        <f>+'2 CONTEXTO E IDENTIFICACIÓN'!J12</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12" s="128">
        <v>144</v>
      </c>
      <c r="D12" s="121" t="str">
        <f t="shared" si="0"/>
        <v>La actividad que conlleva el riesgo se ejecuta de 24 a 500 veces por año</v>
      </c>
      <c r="E12" s="122">
        <f t="shared" si="1"/>
        <v>0.6</v>
      </c>
      <c r="F12" s="123" t="str">
        <f t="shared" si="2"/>
        <v>Media</v>
      </c>
      <c r="G12" s="124" t="s">
        <v>333</v>
      </c>
      <c r="H12" s="70">
        <f t="shared" si="6"/>
        <v>0.6</v>
      </c>
      <c r="I12" s="125" t="str">
        <f t="shared" si="3"/>
        <v>Moderado</v>
      </c>
      <c r="J12" s="124" t="s">
        <v>320</v>
      </c>
      <c r="K12" s="70">
        <f t="shared" si="4"/>
        <v>0.6</v>
      </c>
      <c r="L12" s="125" t="str">
        <f t="shared" si="5"/>
        <v>Moderado</v>
      </c>
      <c r="M12" s="126">
        <f t="shared" si="8"/>
        <v>0.6</v>
      </c>
      <c r="N12" s="127" t="str">
        <f t="shared" si="7"/>
        <v>Moderado</v>
      </c>
      <c r="P12" s="75" t="s">
        <v>334</v>
      </c>
      <c r="Q12" s="67" t="s">
        <v>335</v>
      </c>
      <c r="R12" s="68">
        <v>5001</v>
      </c>
      <c r="S12" s="68">
        <v>5000</v>
      </c>
      <c r="T12" s="69">
        <v>0.8</v>
      </c>
      <c r="V12" s="75" t="s">
        <v>336</v>
      </c>
      <c r="W12" s="70">
        <v>0.8</v>
      </c>
      <c r="X12" s="67" t="s">
        <v>337</v>
      </c>
      <c r="Y12" s="73" t="s">
        <v>338</v>
      </c>
    </row>
    <row r="13" spans="1:25" ht="107.25" customHeight="1" x14ac:dyDescent="0.25">
      <c r="A13" s="118" t="str">
        <f>'2 CONTEXTO E IDENTIFICACIÓN'!A13</f>
        <v>R5</v>
      </c>
      <c r="B13" s="119" t="str">
        <f>+'2 CONTEXTO E IDENTIFICACIÓN'!J13</f>
        <v>Posibilidad de afectación reputacional por pérdida de credibilidad en el ejercicio auditor. a causa de  de emitir conclusiones, recomendaciones, hallazgos erróneos u omisiones en las actividades de auditoría interna.</v>
      </c>
      <c r="C13" s="128">
        <v>54</v>
      </c>
      <c r="D13" s="121" t="str">
        <f t="shared" si="0"/>
        <v>La actividad que conlleva el riesgo se ejecuta de 24 a 500 veces por año</v>
      </c>
      <c r="E13" s="122">
        <f t="shared" si="1"/>
        <v>0.6</v>
      </c>
      <c r="F13" s="123" t="str">
        <f t="shared" si="2"/>
        <v>Media</v>
      </c>
      <c r="G13" s="124" t="s">
        <v>319</v>
      </c>
      <c r="H13" s="70">
        <f t="shared" si="6"/>
        <v>0.4</v>
      </c>
      <c r="I13" s="125" t="str">
        <f t="shared" si="3"/>
        <v>Menor</v>
      </c>
      <c r="J13" s="124" t="s">
        <v>320</v>
      </c>
      <c r="K13" s="70">
        <f t="shared" si="4"/>
        <v>0.6</v>
      </c>
      <c r="L13" s="125" t="str">
        <f t="shared" si="5"/>
        <v>Moderado</v>
      </c>
      <c r="M13" s="126">
        <f t="shared" si="8"/>
        <v>0.6</v>
      </c>
      <c r="N13" s="127" t="str">
        <f t="shared" si="7"/>
        <v>Moderado</v>
      </c>
      <c r="P13" s="76" t="s">
        <v>339</v>
      </c>
      <c r="Q13" s="67" t="s">
        <v>340</v>
      </c>
      <c r="R13" s="68">
        <v>5001</v>
      </c>
      <c r="S13" s="68"/>
      <c r="T13" s="69">
        <v>1</v>
      </c>
      <c r="V13" s="76" t="s">
        <v>341</v>
      </c>
      <c r="W13" s="70">
        <v>1</v>
      </c>
      <c r="X13" s="67" t="s">
        <v>342</v>
      </c>
      <c r="Y13" s="73" t="s">
        <v>343</v>
      </c>
    </row>
    <row r="14" spans="1:25" ht="107.25" customHeight="1" thickBot="1" x14ac:dyDescent="0.3">
      <c r="A14" s="118" t="str">
        <f>'2 CONTEXTO E IDENTIFICACIÓN'!A14</f>
        <v>R6</v>
      </c>
      <c r="B14" s="119" t="str">
        <f>+'2 CONTEXTO E IDENTIFICACIÓN'!J14</f>
        <v>Posibilidad de afectación reputacional por la veracidad de la información a difundir. a causa de que las direcciones / dependencias entregan información parcial o sin confirmar y fuera de tiempos.</v>
      </c>
      <c r="C14" s="128">
        <v>360</v>
      </c>
      <c r="D14" s="121" t="str">
        <f t="shared" si="0"/>
        <v>La actividad que conlleva el riesgo se ejecuta de 24 a 500 veces por año</v>
      </c>
      <c r="E14" s="122">
        <f t="shared" si="1"/>
        <v>0.6</v>
      </c>
      <c r="F14" s="123" t="str">
        <f t="shared" si="2"/>
        <v>Media</v>
      </c>
      <c r="G14" s="124" t="s">
        <v>324</v>
      </c>
      <c r="H14" s="70">
        <f t="shared" si="6"/>
        <v>0.2</v>
      </c>
      <c r="I14" s="125" t="str">
        <f t="shared" si="3"/>
        <v>Leve</v>
      </c>
      <c r="J14" s="124" t="s">
        <v>320</v>
      </c>
      <c r="K14" s="70">
        <f t="shared" si="4"/>
        <v>0.6</v>
      </c>
      <c r="L14" s="125" t="str">
        <f t="shared" si="5"/>
        <v>Moderado</v>
      </c>
      <c r="M14" s="126">
        <f t="shared" si="8"/>
        <v>0.6</v>
      </c>
      <c r="N14" s="127" t="str">
        <f t="shared" si="7"/>
        <v>Moderado</v>
      </c>
      <c r="P14" s="130"/>
      <c r="Q14" s="131"/>
      <c r="R14" s="132"/>
      <c r="S14" s="132"/>
      <c r="T14" s="133"/>
      <c r="V14" s="130"/>
      <c r="W14" s="131"/>
      <c r="X14" s="131" t="s">
        <v>344</v>
      </c>
      <c r="Y14" s="133" t="s">
        <v>344</v>
      </c>
    </row>
    <row r="15" spans="1:25" ht="107.25" customHeight="1" x14ac:dyDescent="0.25">
      <c r="A15" s="118" t="str">
        <f>'2 CONTEXTO E IDENTIFICACIÓN'!A15</f>
        <v>R7</v>
      </c>
      <c r="B15" s="119" t="str">
        <f>+'2 CONTEXTO E IDENTIFICACIÓN'!J15</f>
        <v>Posibilidad de afectación reputacional por gestión del conflicto a causa de  la matriz de levantamiento de activos.</v>
      </c>
      <c r="C15" s="128">
        <v>12</v>
      </c>
      <c r="D15" s="121" t="str">
        <f t="shared" si="0"/>
        <v>La actividad que conlleva el riesgo se ejecuta de 3 a 24 veces por año</v>
      </c>
      <c r="E15" s="122">
        <f t="shared" si="1"/>
        <v>0.4</v>
      </c>
      <c r="F15" s="123" t="str">
        <f t="shared" si="2"/>
        <v>Baja</v>
      </c>
      <c r="G15" s="124" t="s">
        <v>319</v>
      </c>
      <c r="H15" s="70">
        <f t="shared" si="6"/>
        <v>0.4</v>
      </c>
      <c r="I15" s="125" t="str">
        <f t="shared" si="3"/>
        <v>Menor</v>
      </c>
      <c r="J15" s="124" t="s">
        <v>329</v>
      </c>
      <c r="K15" s="70">
        <f t="shared" si="4"/>
        <v>0.4</v>
      </c>
      <c r="L15" s="125" t="str">
        <f t="shared" si="5"/>
        <v>Menor</v>
      </c>
      <c r="M15" s="126">
        <f t="shared" si="8"/>
        <v>0.4</v>
      </c>
      <c r="N15" s="127" t="str">
        <f t="shared" si="7"/>
        <v>Menor</v>
      </c>
    </row>
    <row r="16" spans="1:25" ht="107.25" customHeight="1" x14ac:dyDescent="0.25">
      <c r="A16" s="118" t="str">
        <f>'2 CONTEXTO E IDENTIFICACIÓN'!A16</f>
        <v>R8</v>
      </c>
      <c r="B16" s="119" t="str">
        <f>+'2 CONTEXTO E IDENTIFICACIÓN'!J16</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C16" s="128">
        <v>150</v>
      </c>
      <c r="D16" s="121" t="str">
        <f t="shared" si="0"/>
        <v>La actividad que conlleva el riesgo se ejecuta de 24 a 500 veces por año</v>
      </c>
      <c r="E16" s="122">
        <f t="shared" si="1"/>
        <v>0.6</v>
      </c>
      <c r="F16" s="123" t="str">
        <f t="shared" si="2"/>
        <v>Media</v>
      </c>
      <c r="G16" s="124" t="s">
        <v>333</v>
      </c>
      <c r="H16" s="70">
        <f t="shared" si="6"/>
        <v>0.6</v>
      </c>
      <c r="I16" s="125" t="str">
        <f t="shared" si="3"/>
        <v>Moderado</v>
      </c>
      <c r="J16" s="124" t="s">
        <v>329</v>
      </c>
      <c r="K16" s="70">
        <f t="shared" si="4"/>
        <v>0.4</v>
      </c>
      <c r="L16" s="125" t="str">
        <f t="shared" si="5"/>
        <v>Menor</v>
      </c>
      <c r="M16" s="126">
        <f t="shared" si="8"/>
        <v>0.6</v>
      </c>
      <c r="N16" s="127" t="str">
        <f t="shared" si="7"/>
        <v>Moderado</v>
      </c>
    </row>
    <row r="17" spans="1:14" ht="107.25" customHeight="1" x14ac:dyDescent="0.25">
      <c r="A17" s="118" t="str">
        <f>'2 CONTEXTO E IDENTIFICACIÓN'!A17</f>
        <v>R9</v>
      </c>
      <c r="B17" s="119" t="str">
        <f>+'2 CONTEXTO E IDENTIFICACIÓN'!J17</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C17" s="128">
        <v>15</v>
      </c>
      <c r="D17" s="121" t="str">
        <f t="shared" si="0"/>
        <v>La actividad que conlleva el riesgo se ejecuta de 3 a 24 veces por año</v>
      </c>
      <c r="E17" s="122">
        <f t="shared" si="1"/>
        <v>0.4</v>
      </c>
      <c r="F17" s="123" t="str">
        <f t="shared" si="2"/>
        <v>Baja</v>
      </c>
      <c r="G17" s="124" t="s">
        <v>319</v>
      </c>
      <c r="H17" s="70">
        <f t="shared" si="6"/>
        <v>0.4</v>
      </c>
      <c r="I17" s="125" t="str">
        <f t="shared" si="3"/>
        <v>Menor</v>
      </c>
      <c r="J17" s="124" t="s">
        <v>329</v>
      </c>
      <c r="K17" s="70">
        <f t="shared" si="4"/>
        <v>0.4</v>
      </c>
      <c r="L17" s="125" t="str">
        <f t="shared" si="5"/>
        <v>Menor</v>
      </c>
      <c r="M17" s="126">
        <f t="shared" si="8"/>
        <v>0.4</v>
      </c>
      <c r="N17" s="127" t="str">
        <f t="shared" si="7"/>
        <v>Menor</v>
      </c>
    </row>
    <row r="18" spans="1:14" ht="107.25" customHeight="1" x14ac:dyDescent="0.25">
      <c r="A18" s="118" t="str">
        <f>'2 CONTEXTO E IDENTIFICACIÓN'!A18</f>
        <v>R10</v>
      </c>
      <c r="B18" s="119" t="str">
        <f>+'2 CONTEXTO E IDENTIFICACIÓN'!J18</f>
        <v>Posibilidad de afectación económica por no reporte o no rendir informes sobre el uso o destinación de los recursos entregados a otros países y otras entidades a causa de la no entrega de los informes.</v>
      </c>
      <c r="C18" s="128">
        <v>24</v>
      </c>
      <c r="D18" s="121" t="str">
        <f t="shared" si="0"/>
        <v>La actividad que conlleva el riesgo se ejecuta de 3 a 24 veces por año</v>
      </c>
      <c r="E18" s="122">
        <f t="shared" si="1"/>
        <v>0.4</v>
      </c>
      <c r="F18" s="123" t="str">
        <f t="shared" si="2"/>
        <v>Baja</v>
      </c>
      <c r="G18" s="124" t="s">
        <v>324</v>
      </c>
      <c r="H18" s="70">
        <f t="shared" si="6"/>
        <v>0.2</v>
      </c>
      <c r="I18" s="125" t="str">
        <f t="shared" si="3"/>
        <v>Leve</v>
      </c>
      <c r="J18" s="124" t="s">
        <v>329</v>
      </c>
      <c r="K18" s="70">
        <f t="shared" si="4"/>
        <v>0.4</v>
      </c>
      <c r="L18" s="125" t="str">
        <f t="shared" si="5"/>
        <v>Menor</v>
      </c>
      <c r="M18" s="126">
        <f t="shared" si="8"/>
        <v>0.4</v>
      </c>
      <c r="N18" s="127" t="str">
        <f t="shared" si="7"/>
        <v>Menor</v>
      </c>
    </row>
    <row r="19" spans="1:14" ht="107.25" customHeight="1" x14ac:dyDescent="0.25">
      <c r="A19" s="118" t="str">
        <f>'2 CONTEXTO E IDENTIFICACIÓN'!A19</f>
        <v>R11</v>
      </c>
      <c r="B19" s="119" t="str">
        <f>+'2 CONTEXTO E IDENTIFICACIÓN'!J19</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C19" s="128">
        <v>20</v>
      </c>
      <c r="D19" s="121" t="str">
        <f t="shared" si="0"/>
        <v>La actividad que conlleva el riesgo se ejecuta de 3 a 24 veces por año</v>
      </c>
      <c r="E19" s="122">
        <f t="shared" si="1"/>
        <v>0.4</v>
      </c>
      <c r="F19" s="123" t="str">
        <f t="shared" si="2"/>
        <v>Baja</v>
      </c>
      <c r="G19" s="124" t="s">
        <v>319</v>
      </c>
      <c r="H19" s="70">
        <f t="shared" si="6"/>
        <v>0.4</v>
      </c>
      <c r="I19" s="125" t="str">
        <f t="shared" si="3"/>
        <v>Menor</v>
      </c>
      <c r="J19" s="124" t="s">
        <v>329</v>
      </c>
      <c r="K19" s="70">
        <f t="shared" si="4"/>
        <v>0.4</v>
      </c>
      <c r="L19" s="125" t="str">
        <f t="shared" si="5"/>
        <v>Menor</v>
      </c>
      <c r="M19" s="126">
        <f t="shared" si="8"/>
        <v>0.4</v>
      </c>
      <c r="N19" s="127" t="str">
        <f t="shared" si="7"/>
        <v>Menor</v>
      </c>
    </row>
    <row r="20" spans="1:14" ht="107.25" customHeight="1" x14ac:dyDescent="0.25">
      <c r="A20" s="118" t="str">
        <f>'2 CONTEXTO E IDENTIFICACIÓN'!A20</f>
        <v>R12</v>
      </c>
      <c r="B20" s="119" t="str">
        <f>+'2 CONTEXTO E IDENTIFICACIÓN'!J20</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C20" s="128">
        <v>243</v>
      </c>
      <c r="D20" s="121" t="str">
        <f t="shared" si="0"/>
        <v>La actividad que conlleva el riesgo se ejecuta de 24 a 500 veces por año</v>
      </c>
      <c r="E20" s="122">
        <f t="shared" si="1"/>
        <v>0.6</v>
      </c>
      <c r="F20" s="123" t="str">
        <f t="shared" si="2"/>
        <v>Media</v>
      </c>
      <c r="G20" s="124" t="s">
        <v>333</v>
      </c>
      <c r="H20" s="70">
        <f t="shared" si="6"/>
        <v>0.6</v>
      </c>
      <c r="I20" s="125" t="str">
        <f t="shared" si="3"/>
        <v>Moderado</v>
      </c>
      <c r="J20" s="124" t="s">
        <v>320</v>
      </c>
      <c r="K20" s="70">
        <f t="shared" si="4"/>
        <v>0.6</v>
      </c>
      <c r="L20" s="125" t="str">
        <f t="shared" si="5"/>
        <v>Moderado</v>
      </c>
      <c r="M20" s="126">
        <f t="shared" si="8"/>
        <v>0.6</v>
      </c>
      <c r="N20" s="127" t="str">
        <f t="shared" si="7"/>
        <v>Moderado</v>
      </c>
    </row>
    <row r="21" spans="1:14" ht="107.25" customHeight="1" x14ac:dyDescent="0.25">
      <c r="A21" s="118" t="str">
        <f>'2 CONTEXTO E IDENTIFICACIÓN'!A21</f>
        <v>R13</v>
      </c>
      <c r="B21" s="119" t="str">
        <f>+'2 CONTEXTO E IDENTIFICACIÓN'!J21</f>
        <v>Posibilidad de afectación económica y reputacional por pérdidas economicas, de imagen y/o reputacionales. a causa de ingreso de personal sin autorización y falta de control en en los prestamos de documentación y/o activos.</v>
      </c>
      <c r="C21" s="128">
        <v>243</v>
      </c>
      <c r="D21" s="121" t="str">
        <f t="shared" si="0"/>
        <v>La actividad que conlleva el riesgo se ejecuta de 24 a 500 veces por año</v>
      </c>
      <c r="E21" s="122">
        <f t="shared" si="1"/>
        <v>0.6</v>
      </c>
      <c r="F21" s="123" t="str">
        <f t="shared" si="2"/>
        <v>Media</v>
      </c>
      <c r="G21" s="124" t="s">
        <v>333</v>
      </c>
      <c r="H21" s="70">
        <f t="shared" si="6"/>
        <v>0.6</v>
      </c>
      <c r="I21" s="125" t="str">
        <f t="shared" si="3"/>
        <v>Moderado</v>
      </c>
      <c r="J21" s="124" t="s">
        <v>320</v>
      </c>
      <c r="K21" s="70">
        <f t="shared" si="4"/>
        <v>0.6</v>
      </c>
      <c r="L21" s="125" t="str">
        <f t="shared" si="5"/>
        <v>Moderado</v>
      </c>
      <c r="M21" s="126">
        <f t="shared" si="8"/>
        <v>0.6</v>
      </c>
      <c r="N21" s="127" t="str">
        <f t="shared" si="7"/>
        <v>Moderado</v>
      </c>
    </row>
    <row r="22" spans="1:14" ht="107.25" customHeight="1" x14ac:dyDescent="0.25">
      <c r="A22" s="118" t="str">
        <f>'2 CONTEXTO E IDENTIFICACIÓN'!A22</f>
        <v>R14</v>
      </c>
      <c r="B22" s="119" t="str">
        <f>+'2 CONTEXTO E IDENTIFICACIÓN'!J22</f>
        <v>Posibilidad de afectación económica y reputacional por susceptible a retrasos en los procesos internos por falta de la información requerida. a causa de  a ingreso de personal no autorizado y falta de control en el préstamo de expedientes.</v>
      </c>
      <c r="C22" s="128">
        <v>243</v>
      </c>
      <c r="D22" s="121" t="str">
        <f t="shared" si="0"/>
        <v>La actividad que conlleva el riesgo se ejecuta de 24 a 500 veces por año</v>
      </c>
      <c r="E22" s="122">
        <f t="shared" si="1"/>
        <v>0.6</v>
      </c>
      <c r="F22" s="123" t="str">
        <f t="shared" si="2"/>
        <v>Media</v>
      </c>
      <c r="G22" s="124" t="s">
        <v>333</v>
      </c>
      <c r="H22" s="70">
        <f t="shared" si="6"/>
        <v>0.6</v>
      </c>
      <c r="I22" s="125" t="str">
        <f t="shared" si="3"/>
        <v>Moderado</v>
      </c>
      <c r="J22" s="124" t="s">
        <v>320</v>
      </c>
      <c r="K22" s="70">
        <f t="shared" si="4"/>
        <v>0.6</v>
      </c>
      <c r="L22" s="125" t="str">
        <f t="shared" si="5"/>
        <v>Moderado</v>
      </c>
      <c r="M22" s="126">
        <f t="shared" si="8"/>
        <v>0.6</v>
      </c>
      <c r="N22" s="127" t="str">
        <f t="shared" si="7"/>
        <v>Moderado</v>
      </c>
    </row>
    <row r="23" spans="1:14" ht="107.25" customHeight="1" x14ac:dyDescent="0.25">
      <c r="A23" s="118" t="str">
        <f>'2 CONTEXTO E IDENTIFICACIÓN'!A23</f>
        <v>R15</v>
      </c>
      <c r="B23" s="119" t="str">
        <f>+'2 CONTEXTO E IDENTIFICACIÓN'!J23</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C23" s="128">
        <v>842</v>
      </c>
      <c r="D23" s="121" t="str">
        <f t="shared" si="0"/>
        <v>La actividad que conlleva el riesgo se ejecuta mínimo 500 veces al año y máximo 5.000 veces por año</v>
      </c>
      <c r="E23" s="122">
        <f t="shared" si="1"/>
        <v>0.8</v>
      </c>
      <c r="F23" s="123" t="str">
        <f t="shared" si="2"/>
        <v>Alta</v>
      </c>
      <c r="G23" s="124" t="s">
        <v>333</v>
      </c>
      <c r="H23" s="70">
        <f t="shared" si="6"/>
        <v>0.6</v>
      </c>
      <c r="I23" s="125" t="str">
        <f t="shared" si="3"/>
        <v>Moderado</v>
      </c>
      <c r="J23" s="124" t="s">
        <v>320</v>
      </c>
      <c r="K23" s="70">
        <f t="shared" si="4"/>
        <v>0.6</v>
      </c>
      <c r="L23" s="125" t="str">
        <f t="shared" si="5"/>
        <v>Moderado</v>
      </c>
      <c r="M23" s="126">
        <f t="shared" si="8"/>
        <v>0.6</v>
      </c>
      <c r="N23" s="127" t="str">
        <f t="shared" si="7"/>
        <v>Moderado</v>
      </c>
    </row>
    <row r="24" spans="1:14" ht="107.25" customHeight="1" x14ac:dyDescent="0.25">
      <c r="A24" s="118" t="str">
        <f>'2 CONTEXTO E IDENTIFICACIÓN'!A24</f>
        <v>R16</v>
      </c>
      <c r="B24" s="119" t="str">
        <f>+'2 CONTEXTO E IDENTIFICACIÓN'!J24</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C24" s="128">
        <v>12</v>
      </c>
      <c r="D24" s="121" t="str">
        <f t="shared" si="0"/>
        <v>La actividad que conlleva el riesgo se ejecuta de 3 a 24 veces por año</v>
      </c>
      <c r="E24" s="122">
        <f t="shared" si="1"/>
        <v>0.4</v>
      </c>
      <c r="F24" s="123" t="str">
        <f t="shared" si="2"/>
        <v>Baja</v>
      </c>
      <c r="G24" s="124" t="s">
        <v>319</v>
      </c>
      <c r="H24" s="70">
        <f t="shared" si="6"/>
        <v>0.4</v>
      </c>
      <c r="I24" s="125" t="str">
        <f t="shared" si="3"/>
        <v>Menor</v>
      </c>
      <c r="J24" s="124" t="s">
        <v>329</v>
      </c>
      <c r="K24" s="70">
        <f t="shared" si="4"/>
        <v>0.4</v>
      </c>
      <c r="L24" s="125" t="str">
        <f t="shared" si="5"/>
        <v>Menor</v>
      </c>
      <c r="M24" s="126">
        <f t="shared" si="8"/>
        <v>0.4</v>
      </c>
      <c r="N24" s="127" t="str">
        <f t="shared" si="7"/>
        <v>Menor</v>
      </c>
    </row>
    <row r="25" spans="1:14" ht="107.25" customHeight="1" x14ac:dyDescent="0.25">
      <c r="A25" s="118" t="str">
        <f>'2 CONTEXTO E IDENTIFICACIÓN'!A25</f>
        <v>R17</v>
      </c>
      <c r="B25" s="119" t="str">
        <f>+'2 CONTEXTO E IDENTIFICACIÓN'!J25</f>
        <v>Posibilidad de afectación económica y reputacional por  el registro de información sin soportes completos y precisos. a causa de  suministro de información al proceso contable de forma incompleta o sin verificación.</v>
      </c>
      <c r="C25" s="128">
        <v>20</v>
      </c>
      <c r="D25" s="121" t="str">
        <f t="shared" si="0"/>
        <v>La actividad que conlleva el riesgo se ejecuta de 3 a 24 veces por año</v>
      </c>
      <c r="E25" s="122">
        <f t="shared" si="1"/>
        <v>0.4</v>
      </c>
      <c r="F25" s="123" t="str">
        <f t="shared" si="2"/>
        <v>Baja</v>
      </c>
      <c r="G25" s="124" t="s">
        <v>319</v>
      </c>
      <c r="H25" s="70">
        <f t="shared" si="6"/>
        <v>0.4</v>
      </c>
      <c r="I25" s="125" t="str">
        <f t="shared" si="3"/>
        <v>Menor</v>
      </c>
      <c r="J25" s="124" t="s">
        <v>329</v>
      </c>
      <c r="K25" s="70">
        <f t="shared" si="4"/>
        <v>0.4</v>
      </c>
      <c r="L25" s="125" t="str">
        <f t="shared" si="5"/>
        <v>Menor</v>
      </c>
      <c r="M25" s="126">
        <f t="shared" si="8"/>
        <v>0.4</v>
      </c>
      <c r="N25" s="127" t="str">
        <f t="shared" si="7"/>
        <v>Menor</v>
      </c>
    </row>
    <row r="26" spans="1:14" ht="107.25" customHeight="1" x14ac:dyDescent="0.25">
      <c r="A26" s="118" t="str">
        <f>'2 CONTEXTO E IDENTIFICACIÓN'!A26</f>
        <v>R18</v>
      </c>
      <c r="B26" s="119" t="str">
        <f>+'2 CONTEXTO E IDENTIFICACIÓN'!J26</f>
        <v>Posibilidad de afectación económica y reputacional por sanción y/o multa. a causa de  al incumplimiento legal de los requisitos del Sistema de gestión de seguridad y salud en el trabajo (SG-SST).</v>
      </c>
      <c r="C26" s="128">
        <v>12</v>
      </c>
      <c r="D26" s="121" t="str">
        <f t="shared" si="0"/>
        <v>La actividad que conlleva el riesgo se ejecuta de 3 a 24 veces por año</v>
      </c>
      <c r="E26" s="122">
        <f t="shared" si="1"/>
        <v>0.4</v>
      </c>
      <c r="F26" s="123" t="str">
        <f t="shared" si="2"/>
        <v>Baja</v>
      </c>
      <c r="G26" s="124" t="s">
        <v>319</v>
      </c>
      <c r="H26" s="70">
        <f t="shared" si="6"/>
        <v>0.4</v>
      </c>
      <c r="I26" s="125" t="str">
        <f t="shared" si="3"/>
        <v>Menor</v>
      </c>
      <c r="J26" s="124" t="s">
        <v>329</v>
      </c>
      <c r="K26" s="70">
        <f t="shared" si="4"/>
        <v>0.4</v>
      </c>
      <c r="L26" s="125" t="str">
        <f t="shared" si="5"/>
        <v>Menor</v>
      </c>
      <c r="M26" s="126">
        <f t="shared" si="8"/>
        <v>0.4</v>
      </c>
      <c r="N26" s="127" t="str">
        <f t="shared" si="7"/>
        <v>Menor</v>
      </c>
    </row>
    <row r="27" spans="1:14" ht="107.25" customHeight="1" x14ac:dyDescent="0.25">
      <c r="A27" s="118" t="str">
        <f>'2 CONTEXTO E IDENTIFICACIÓN'!A27</f>
        <v>R19</v>
      </c>
      <c r="B27" s="119" t="str">
        <f>+'2 CONTEXTO E IDENTIFICACIÓN'!J27</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27" s="128">
        <v>144</v>
      </c>
      <c r="D27" s="121" t="str">
        <f t="shared" si="0"/>
        <v>La actividad que conlleva el riesgo se ejecuta de 24 a 500 veces por año</v>
      </c>
      <c r="E27" s="122">
        <f t="shared" si="1"/>
        <v>0.6</v>
      </c>
      <c r="F27" s="123" t="str">
        <f t="shared" si="2"/>
        <v>Media</v>
      </c>
      <c r="G27" s="124" t="s">
        <v>333</v>
      </c>
      <c r="H27" s="70">
        <f t="shared" si="6"/>
        <v>0.6</v>
      </c>
      <c r="I27" s="125" t="str">
        <f t="shared" si="3"/>
        <v>Moderado</v>
      </c>
      <c r="J27" s="124" t="s">
        <v>320</v>
      </c>
      <c r="K27" s="70">
        <f t="shared" si="4"/>
        <v>0.6</v>
      </c>
      <c r="L27" s="125" t="str">
        <f t="shared" si="5"/>
        <v>Moderado</v>
      </c>
      <c r="M27" s="126">
        <f t="shared" si="8"/>
        <v>0.6</v>
      </c>
      <c r="N27" s="127" t="str">
        <f t="shared" si="7"/>
        <v>Moderado</v>
      </c>
    </row>
    <row r="28" spans="1:14" ht="107.25" customHeight="1" thickBot="1" x14ac:dyDescent="0.3">
      <c r="A28" s="118" t="str">
        <f>'2 CONTEXTO E IDENTIFICACIÓN'!A28</f>
        <v>R20</v>
      </c>
      <c r="B28" s="119" t="str">
        <f>+'2 CONTEXTO E IDENTIFICACIÓN'!J28</f>
        <v>Posibilidad de afectación reputacional por la reclamación de la DIAN y queja y/o sanción de los organismos de vigilancia y control. a causa de   incumplimiento en los requisitos para tramitar donaciones por parte de la Agencia.</v>
      </c>
      <c r="C28" s="128">
        <v>17</v>
      </c>
      <c r="D28" s="134" t="str">
        <f t="shared" si="0"/>
        <v>La actividad que conlleva el riesgo se ejecuta de 3 a 24 veces por año</v>
      </c>
      <c r="E28" s="135">
        <f t="shared" si="1"/>
        <v>0.4</v>
      </c>
      <c r="F28" s="136" t="str">
        <f t="shared" si="2"/>
        <v>Baja</v>
      </c>
      <c r="G28" s="137" t="s">
        <v>324</v>
      </c>
      <c r="H28" s="138">
        <f t="shared" si="6"/>
        <v>0.2</v>
      </c>
      <c r="I28" s="139" t="str">
        <f t="shared" si="3"/>
        <v>Leve</v>
      </c>
      <c r="J28" s="124" t="s">
        <v>329</v>
      </c>
      <c r="K28" s="138">
        <f t="shared" si="4"/>
        <v>0.4</v>
      </c>
      <c r="L28" s="139" t="str">
        <f t="shared" si="5"/>
        <v>Menor</v>
      </c>
      <c r="M28" s="140">
        <f t="shared" si="8"/>
        <v>0.4</v>
      </c>
      <c r="N28" s="141" t="str">
        <f t="shared" si="7"/>
        <v>Menor</v>
      </c>
    </row>
    <row r="29" spans="1:14" ht="107.25" customHeight="1" thickBot="1" x14ac:dyDescent="0.3">
      <c r="A29" s="118" t="str">
        <f>'2 CONTEXTO E IDENTIFICACIÓN'!A29</f>
        <v>R21</v>
      </c>
      <c r="B29" s="119" t="str">
        <f>+'2 CONTEXTO E IDENTIFICACIÓN'!J29</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C29" s="128">
        <v>50</v>
      </c>
      <c r="D29" s="134" t="str">
        <f t="shared" ref="D29:D38" si="9">+IF(C29="","",IF(C29&lt;=$S$9,$Q$9,IF(C29&lt;=$S$10,$Q$10,IF(C29&lt;=$S$11,$Q$11,IF(C29&lt;=$S$12,$Q$12,IF(C29&gt;=$R$13,$Q$13,""))))))</f>
        <v>La actividad que conlleva el riesgo se ejecuta de 24 a 500 veces por año</v>
      </c>
      <c r="E29" s="135">
        <f t="shared" ref="E29:E38" si="10">+IF(D29="","",IF(D29=$Q$9,$T$9,IF(D29=$Q$10,$T$10,IF(D29=$Q$11,$T$11,IF(D29=$Q$12,$T$12,IF(D29=$Q$13,$T$13))))))</f>
        <v>0.6</v>
      </c>
      <c r="F29" s="136" t="str">
        <f t="shared" ref="F29:F38" si="11">+IF(D29="","",IF(D29=$Q$9,$P$9,IF(D29=$Q$10,$P$10,IF(D29=$Q$11,$P$11,IF(D29=$Q$12,$P$12,IF(D29=$Q$13,$P$13))))))</f>
        <v>Media</v>
      </c>
      <c r="G29" s="137" t="s">
        <v>319</v>
      </c>
      <c r="H29" s="138">
        <f t="shared" ref="H29:H38" si="12">+IF(G29="","",IF(G29="N/A","",IF(OR(G29=$X$9,G29=$Y$9),$W$9,IF(OR(G29=$X$10,G29=$Y$10),$W$10,IF(OR(G29=$X$11,G29=$Y$11),$W$11,IF(OR(G29=$X$12,G29=$Y$12),$W$12,IF(OR(G29=$X$13,G29=$Y$13),$W$13)))))))</f>
        <v>0.4</v>
      </c>
      <c r="I29" s="139" t="str">
        <f t="shared" ref="I29:I38" si="13">+IF(G29="","",IF(G29="N/A","",IF(OR(G29=$X$9,G29=$Y$9),$V$9,IF(OR(G29=$X$10,G29=$Y$10),$V$10,IF(OR(G29=$X$11,G29=$Y$11),$V$11,IF(OR(G29=$X$12,G29=$Y$12),$V$12,IF(OR(G29=$X$13,G29=$Y$13),$V$13)))))))</f>
        <v>Menor</v>
      </c>
      <c r="J29" s="124" t="s">
        <v>329</v>
      </c>
      <c r="K29" s="138">
        <f t="shared" ref="K29:K38" si="14">+IF(J29="","",IF(J29="N/A","",IF(OR(J29=$X$9,J29=$Y$9),$W$9,IF(OR(J29=$X$10,J29=$Y$10),$W$10,IF(OR(J29=$X$11,J29=$Y$11),$W$11,IF(OR(J29=$X$12,J29=$Y$12),$W$12,IF(OR(J29=$X$13,J29=$Y$13),$W$13)))))))</f>
        <v>0.4</v>
      </c>
      <c r="L29" s="139" t="str">
        <f t="shared" ref="L29:L38" si="15">+IF(J29="","",IF(J29="N/A","",IF(OR(J29=$X$9,J29=$Y$9),$V$9,IF(OR(J29=$X$10,J29=$Y$10),$V$10,IF(OR(J29=$X$11,J29=$Y$11),$V$11,IF(OR(J29=$X$12,J29=$Y$12),$V$12,IF(OR(J29=$X$13,J29=$Y$13),$V$13)))))))</f>
        <v>Menor</v>
      </c>
      <c r="M29" s="140">
        <f t="shared" ref="M29:M38" si="16">+IF(H29="",K29,IF(K29="",H29,IF(H29&gt;K29,H29,K29)))</f>
        <v>0.4</v>
      </c>
      <c r="N29" s="141" t="str">
        <f t="shared" ref="N29:N38" si="17">+IF(M29="","",IF(M29=$W$9,$V$9,IF(M29=$W$10,$V$10,IF(M29=$W$11,$V$11,IF(M29=$W$12,$V$12,IF(M29=$W$13,$V$13))))))</f>
        <v>Menor</v>
      </c>
    </row>
    <row r="30" spans="1:14" ht="107.25" customHeight="1" thickBot="1" x14ac:dyDescent="0.3">
      <c r="A30" s="118" t="str">
        <f>'2 CONTEXTO E IDENTIFICACIÓN'!A30</f>
        <v>R22</v>
      </c>
      <c r="B30" s="119" t="str">
        <f>+'2 CONTEXTO E IDENTIFICACIÓN'!J30</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C30" s="128">
        <v>100</v>
      </c>
      <c r="D30" s="134" t="str">
        <f t="shared" si="9"/>
        <v>La actividad que conlleva el riesgo se ejecuta de 24 a 500 veces por año</v>
      </c>
      <c r="E30" s="135">
        <f t="shared" si="10"/>
        <v>0.6</v>
      </c>
      <c r="F30" s="136" t="str">
        <f t="shared" si="11"/>
        <v>Media</v>
      </c>
      <c r="G30" s="137" t="s">
        <v>333</v>
      </c>
      <c r="H30" s="138">
        <f t="shared" si="12"/>
        <v>0.6</v>
      </c>
      <c r="I30" s="139" t="str">
        <f t="shared" si="13"/>
        <v>Moderado</v>
      </c>
      <c r="J30" s="124" t="s">
        <v>329</v>
      </c>
      <c r="K30" s="138">
        <f t="shared" si="14"/>
        <v>0.4</v>
      </c>
      <c r="L30" s="139" t="str">
        <f t="shared" si="15"/>
        <v>Menor</v>
      </c>
      <c r="M30" s="140">
        <f t="shared" si="16"/>
        <v>0.6</v>
      </c>
      <c r="N30" s="141" t="str">
        <f t="shared" si="17"/>
        <v>Moderado</v>
      </c>
    </row>
    <row r="31" spans="1:14" ht="107.25" customHeight="1" thickBot="1" x14ac:dyDescent="0.3">
      <c r="A31" s="118" t="str">
        <f>'2 CONTEXTO E IDENTIFICACIÓN'!A31</f>
        <v>R23</v>
      </c>
      <c r="B31" s="119" t="str">
        <f>+'2 CONTEXTO E IDENTIFICACIÓN'!J31</f>
        <v>Posibilidad de afectación reputacional por obtener beneficios tributarios  a causa de que no cumplen con los requisitos del Decreto 1651 de 2021</v>
      </c>
      <c r="C31" s="128">
        <v>10</v>
      </c>
      <c r="D31" s="134" t="str">
        <f t="shared" si="9"/>
        <v>La actividad que conlleva el riesgo se ejecuta de 3 a 24 veces por año</v>
      </c>
      <c r="E31" s="135">
        <f t="shared" si="10"/>
        <v>0.4</v>
      </c>
      <c r="F31" s="136" t="str">
        <f t="shared" si="11"/>
        <v>Baja</v>
      </c>
      <c r="G31" s="137" t="s">
        <v>324</v>
      </c>
      <c r="H31" s="138">
        <f t="shared" si="12"/>
        <v>0.2</v>
      </c>
      <c r="I31" s="139" t="str">
        <f t="shared" si="13"/>
        <v>Leve</v>
      </c>
      <c r="J31" s="124" t="s">
        <v>329</v>
      </c>
      <c r="K31" s="138">
        <f t="shared" si="14"/>
        <v>0.4</v>
      </c>
      <c r="L31" s="139" t="str">
        <f t="shared" si="15"/>
        <v>Menor</v>
      </c>
      <c r="M31" s="140">
        <f t="shared" si="16"/>
        <v>0.4</v>
      </c>
      <c r="N31" s="141" t="str">
        <f t="shared" si="17"/>
        <v>Menor</v>
      </c>
    </row>
    <row r="32" spans="1:14" ht="107.25" customHeight="1" thickBot="1" x14ac:dyDescent="0.3">
      <c r="A32" s="118" t="str">
        <f>'2 CONTEXTO E IDENTIFICACIÓN'!A32</f>
        <v>R24</v>
      </c>
      <c r="B32" s="119" t="str">
        <f>+'2 CONTEXTO E IDENTIFICACIÓN'!J32</f>
        <v>Posibilidad de afectación económica y reputacional porsanción, multa o penalidad a causa de   la indebida supervisión de los contratos o convenios suscritos</v>
      </c>
      <c r="C32" s="128">
        <v>140</v>
      </c>
      <c r="D32" s="134" t="str">
        <f t="shared" si="9"/>
        <v>La actividad que conlleva el riesgo se ejecuta de 24 a 500 veces por año</v>
      </c>
      <c r="E32" s="135">
        <f t="shared" si="10"/>
        <v>0.6</v>
      </c>
      <c r="F32" s="136" t="str">
        <f t="shared" si="11"/>
        <v>Media</v>
      </c>
      <c r="G32" s="137" t="s">
        <v>333</v>
      </c>
      <c r="H32" s="138">
        <f t="shared" si="12"/>
        <v>0.6</v>
      </c>
      <c r="I32" s="139" t="str">
        <f t="shared" si="13"/>
        <v>Moderado</v>
      </c>
      <c r="J32" s="124" t="s">
        <v>329</v>
      </c>
      <c r="K32" s="138">
        <f t="shared" si="14"/>
        <v>0.4</v>
      </c>
      <c r="L32" s="139" t="str">
        <f t="shared" si="15"/>
        <v>Menor</v>
      </c>
      <c r="M32" s="140">
        <f t="shared" si="16"/>
        <v>0.6</v>
      </c>
      <c r="N32" s="141" t="str">
        <f t="shared" si="17"/>
        <v>Moderado</v>
      </c>
    </row>
    <row r="33" spans="1:14" ht="107.25" customHeight="1" thickBot="1" x14ac:dyDescent="0.3">
      <c r="A33" s="118" t="str">
        <f>'2 CONTEXTO E IDENTIFICACIÓN'!A33</f>
        <v>R25</v>
      </c>
      <c r="B33" s="119" t="str">
        <f>+'2 CONTEXTO E IDENTIFICACIÓN'!J33</f>
        <v>Posibilidad de afectación económica y reputacional por una sanción de las autoridades competentes a causa de  favorecimiento indebido a un tercero con los recursos asignados de contrapartida</v>
      </c>
      <c r="C33" s="128">
        <v>5</v>
      </c>
      <c r="D33" s="134" t="str">
        <f t="shared" si="9"/>
        <v>La actividad que conlleva el riesgo se ejecuta de 3 a 24 veces por año</v>
      </c>
      <c r="E33" s="135">
        <f t="shared" si="10"/>
        <v>0.4</v>
      </c>
      <c r="F33" s="136" t="str">
        <f t="shared" si="11"/>
        <v>Baja</v>
      </c>
      <c r="G33" s="137" t="s">
        <v>319</v>
      </c>
      <c r="H33" s="138">
        <f t="shared" si="12"/>
        <v>0.4</v>
      </c>
      <c r="I33" s="139" t="str">
        <f t="shared" si="13"/>
        <v>Menor</v>
      </c>
      <c r="J33" s="124" t="s">
        <v>329</v>
      </c>
      <c r="K33" s="138">
        <f t="shared" si="14"/>
        <v>0.4</v>
      </c>
      <c r="L33" s="139" t="str">
        <f t="shared" si="15"/>
        <v>Menor</v>
      </c>
      <c r="M33" s="140">
        <f t="shared" si="16"/>
        <v>0.4</v>
      </c>
      <c r="N33" s="141" t="str">
        <f t="shared" si="17"/>
        <v>Menor</v>
      </c>
    </row>
    <row r="34" spans="1:14" ht="107.25" customHeight="1" thickBot="1" x14ac:dyDescent="0.3">
      <c r="A34" s="118" t="str">
        <f>'2 CONTEXTO E IDENTIFICACIÓN'!A34</f>
        <v>R26</v>
      </c>
      <c r="B34" s="119" t="str">
        <f>+'2 CONTEXTO E IDENTIFICACIÓN'!J34</f>
        <v>Posibilidad de afectación económica y reputacional por una sanción de las autoridades competentes a causa de  la destinación indebida de los recursos asignados a una iniciativa de contrapartidas, durante su fase de ejecución</v>
      </c>
      <c r="C34" s="128">
        <v>5</v>
      </c>
      <c r="D34" s="134" t="str">
        <f t="shared" si="9"/>
        <v>La actividad que conlleva el riesgo se ejecuta de 3 a 24 veces por año</v>
      </c>
      <c r="E34" s="135">
        <f t="shared" si="10"/>
        <v>0.4</v>
      </c>
      <c r="F34" s="136" t="str">
        <f t="shared" si="11"/>
        <v>Baja</v>
      </c>
      <c r="G34" s="137" t="s">
        <v>319</v>
      </c>
      <c r="H34" s="138">
        <f t="shared" si="12"/>
        <v>0.4</v>
      </c>
      <c r="I34" s="139" t="str">
        <f t="shared" si="13"/>
        <v>Menor</v>
      </c>
      <c r="J34" s="124" t="s">
        <v>329</v>
      </c>
      <c r="K34" s="138">
        <f t="shared" si="14"/>
        <v>0.4</v>
      </c>
      <c r="L34" s="139" t="str">
        <f t="shared" si="15"/>
        <v>Menor</v>
      </c>
      <c r="M34" s="140">
        <f t="shared" si="16"/>
        <v>0.4</v>
      </c>
      <c r="N34" s="141" t="str">
        <f t="shared" si="17"/>
        <v>Menor</v>
      </c>
    </row>
    <row r="35" spans="1:14" ht="107.25" customHeight="1" thickBot="1" x14ac:dyDescent="0.3">
      <c r="A35" s="118" t="str">
        <f>'2 CONTEXTO E IDENTIFICACIÓN'!A35</f>
        <v>R27</v>
      </c>
      <c r="B35" s="119" t="str">
        <f>+'2 CONTEXTO E IDENTIFICACIÓN'!J35</f>
        <v>Posibilidad de afectación económica y reputacional porPérdida, desvió y/o destinación indebida de los recursos asignados a la caja menor a causa de  incumplimiento de los lineamientos establecidos por la Agencia para la administración de la caja menor</v>
      </c>
      <c r="C35" s="128">
        <v>153</v>
      </c>
      <c r="D35" s="134" t="str">
        <f t="shared" si="9"/>
        <v>La actividad que conlleva el riesgo se ejecuta de 24 a 500 veces por año</v>
      </c>
      <c r="E35" s="135">
        <f t="shared" si="10"/>
        <v>0.6</v>
      </c>
      <c r="F35" s="136" t="str">
        <f t="shared" si="11"/>
        <v>Media</v>
      </c>
      <c r="G35" s="137" t="s">
        <v>333</v>
      </c>
      <c r="H35" s="138">
        <f t="shared" si="12"/>
        <v>0.6</v>
      </c>
      <c r="I35" s="139" t="str">
        <f t="shared" si="13"/>
        <v>Moderado</v>
      </c>
      <c r="J35" s="124" t="s">
        <v>329</v>
      </c>
      <c r="K35" s="138">
        <f t="shared" si="14"/>
        <v>0.4</v>
      </c>
      <c r="L35" s="139" t="str">
        <f t="shared" si="15"/>
        <v>Menor</v>
      </c>
      <c r="M35" s="140">
        <f t="shared" si="16"/>
        <v>0.6</v>
      </c>
      <c r="N35" s="141" t="str">
        <f t="shared" si="17"/>
        <v>Moderado</v>
      </c>
    </row>
    <row r="36" spans="1:14" ht="107.25" customHeight="1" thickBot="1" x14ac:dyDescent="0.3">
      <c r="A36" s="118" t="str">
        <f>'2 CONTEXTO E IDENTIFICACIÓN'!A36</f>
        <v>R28</v>
      </c>
      <c r="B36" s="119" t="str">
        <f>+'2 CONTEXTO E IDENTIFICACIÓN'!J36</f>
        <v>Posibilidad de afectación económica y reputacional por revocatoria de nombramiento y sanciones disciplinarias  a causa de incumplimiento en la verificación y  certificación de requisitos exigidos para el desempeño del empleo público</v>
      </c>
      <c r="C36" s="128">
        <v>37</v>
      </c>
      <c r="D36" s="134" t="str">
        <f t="shared" si="9"/>
        <v>La actividad que conlleva el riesgo se ejecuta de 24 a 500 veces por año</v>
      </c>
      <c r="E36" s="135">
        <f t="shared" si="10"/>
        <v>0.6</v>
      </c>
      <c r="F36" s="136" t="str">
        <f t="shared" si="11"/>
        <v>Media</v>
      </c>
      <c r="G36" s="137" t="s">
        <v>333</v>
      </c>
      <c r="H36" s="138">
        <f t="shared" si="12"/>
        <v>0.6</v>
      </c>
      <c r="I36" s="139" t="str">
        <f t="shared" si="13"/>
        <v>Moderado</v>
      </c>
      <c r="J36" s="124" t="s">
        <v>329</v>
      </c>
      <c r="K36" s="138">
        <f t="shared" si="14"/>
        <v>0.4</v>
      </c>
      <c r="L36" s="139" t="str">
        <f t="shared" si="15"/>
        <v>Menor</v>
      </c>
      <c r="M36" s="140">
        <f t="shared" si="16"/>
        <v>0.6</v>
      </c>
      <c r="N36" s="141" t="str">
        <f t="shared" si="17"/>
        <v>Moderado</v>
      </c>
    </row>
    <row r="37" spans="1:14" ht="107.25" customHeight="1" thickBot="1" x14ac:dyDescent="0.3">
      <c r="A37" s="118" t="str">
        <f>'2 CONTEXTO E IDENTIFICACIÓN'!A37</f>
        <v>R29</v>
      </c>
      <c r="B37" s="119" t="str">
        <f>+'2 CONTEXTO E IDENTIFICACIÓN'!J37</f>
        <v>Posibilidad de afectación económica y reputacional por la reclamación  del donante a causa de ausencia en el seguimiento frente a la entrega final de la donación realizada por el donante</v>
      </c>
      <c r="C37" s="128">
        <v>17</v>
      </c>
      <c r="D37" s="134" t="str">
        <f t="shared" si="9"/>
        <v>La actividad que conlleva el riesgo se ejecuta de 3 a 24 veces por año</v>
      </c>
      <c r="E37" s="135">
        <f t="shared" si="10"/>
        <v>0.4</v>
      </c>
      <c r="F37" s="136" t="str">
        <f t="shared" si="11"/>
        <v>Baja</v>
      </c>
      <c r="G37" s="137" t="s">
        <v>319</v>
      </c>
      <c r="H37" s="138">
        <f t="shared" si="12"/>
        <v>0.4</v>
      </c>
      <c r="I37" s="139" t="str">
        <f t="shared" si="13"/>
        <v>Menor</v>
      </c>
      <c r="J37" s="124" t="s">
        <v>329</v>
      </c>
      <c r="K37" s="138">
        <f t="shared" si="14"/>
        <v>0.4</v>
      </c>
      <c r="L37" s="139" t="str">
        <f t="shared" si="15"/>
        <v>Menor</v>
      </c>
      <c r="M37" s="140">
        <f t="shared" si="16"/>
        <v>0.4</v>
      </c>
      <c r="N37" s="141" t="str">
        <f t="shared" si="17"/>
        <v>Menor</v>
      </c>
    </row>
    <row r="38" spans="1:14" ht="107.25" customHeight="1" thickBot="1" x14ac:dyDescent="0.3">
      <c r="A38" s="118" t="str">
        <f>'2 CONTEXTO E IDENTIFICACIÓN'!A38</f>
        <v>R30</v>
      </c>
      <c r="B38" s="119" t="str">
        <f>+'2 CONTEXTO E IDENTIFICACIÓN'!J38</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C38" s="128">
        <v>12</v>
      </c>
      <c r="D38" s="134" t="str">
        <f t="shared" si="9"/>
        <v>La actividad que conlleva el riesgo se ejecuta de 3 a 24 veces por año</v>
      </c>
      <c r="E38" s="135">
        <f t="shared" si="10"/>
        <v>0.4</v>
      </c>
      <c r="F38" s="136" t="str">
        <f t="shared" si="11"/>
        <v>Baja</v>
      </c>
      <c r="G38" s="137" t="s">
        <v>319</v>
      </c>
      <c r="H38" s="138">
        <f t="shared" si="12"/>
        <v>0.4</v>
      </c>
      <c r="I38" s="139" t="str">
        <f t="shared" si="13"/>
        <v>Menor</v>
      </c>
      <c r="J38" s="124" t="s">
        <v>329</v>
      </c>
      <c r="K38" s="138">
        <f t="shared" si="14"/>
        <v>0.4</v>
      </c>
      <c r="L38" s="139" t="str">
        <f t="shared" si="15"/>
        <v>Menor</v>
      </c>
      <c r="M38" s="140">
        <f t="shared" si="16"/>
        <v>0.4</v>
      </c>
      <c r="N38" s="141" t="str">
        <f t="shared" si="17"/>
        <v>Menor</v>
      </c>
    </row>
    <row r="39" spans="1:14" ht="107.25" customHeight="1" thickBot="1" x14ac:dyDescent="0.3">
      <c r="A39" s="118" t="str">
        <f>'2 CONTEXTO E IDENTIFICACIÓN'!A39</f>
        <v>R31</v>
      </c>
      <c r="B39" s="119" t="str">
        <f>+'2 CONTEXTO E IDENTIFICACIÓN'!J39</f>
        <v>Posibilidad de afectación económica y reputacional por la insuficiencia de controles adecuados para el registro de cuentas por pagar y obligaciones a causa de  la falta de seguimiento y control por parte de los supervisores de contrato u orden de compra</v>
      </c>
      <c r="C39" s="128">
        <v>20</v>
      </c>
      <c r="D39" s="134" t="str">
        <f t="shared" ref="D39" si="18">+IF(C39="","",IF(C39&lt;=$S$9,$Q$9,IF(C39&lt;=$S$10,$Q$10,IF(C39&lt;=$S$11,$Q$11,IF(C39&lt;=$S$12,$Q$12,IF(C39&gt;=$R$13,$Q$13,""))))))</f>
        <v>La actividad que conlleva el riesgo se ejecuta de 3 a 24 veces por año</v>
      </c>
      <c r="E39" s="135">
        <f t="shared" ref="E39" si="19">+IF(D39="","",IF(D39=$Q$9,$T$9,IF(D39=$Q$10,$T$10,IF(D39=$Q$11,$T$11,IF(D39=$Q$12,$T$12,IF(D39=$Q$13,$T$13))))))</f>
        <v>0.4</v>
      </c>
      <c r="F39" s="136" t="str">
        <f t="shared" ref="F39" si="20">+IF(D39="","",IF(D39=$Q$9,$P$9,IF(D39=$Q$10,$P$10,IF(D39=$Q$11,$P$11,IF(D39=$Q$12,$P$12,IF(D39=$Q$13,$P$13))))))</f>
        <v>Baja</v>
      </c>
      <c r="G39" s="137" t="s">
        <v>319</v>
      </c>
      <c r="H39" s="138">
        <f t="shared" ref="H39" si="21">+IF(G39="","",IF(G39="N/A","",IF(OR(G39=$X$9,G39=$Y$9),$W$9,IF(OR(G39=$X$10,G39=$Y$10),$W$10,IF(OR(G39=$X$11,G39=$Y$11),$W$11,IF(OR(G39=$X$12,G39=$Y$12),$W$12,IF(OR(G39=$X$13,G39=$Y$13),$W$13)))))))</f>
        <v>0.4</v>
      </c>
      <c r="I39" s="139" t="str">
        <f t="shared" ref="I39" si="22">+IF(G39="","",IF(G39="N/A","",IF(OR(G39=$X$9,G39=$Y$9),$V$9,IF(OR(G39=$X$10,G39=$Y$10),$V$10,IF(OR(G39=$X$11,G39=$Y$11),$V$11,IF(OR(G39=$X$12,G39=$Y$12),$V$12,IF(OR(G39=$X$13,G39=$Y$13),$V$13)))))))</f>
        <v>Menor</v>
      </c>
      <c r="J39" s="124" t="s">
        <v>329</v>
      </c>
      <c r="K39" s="138">
        <f t="shared" ref="K39" si="23">+IF(J39="","",IF(J39="N/A","",IF(OR(J39=$X$9,J39=$Y$9),$W$9,IF(OR(J39=$X$10,J39=$Y$10),$W$10,IF(OR(J39=$X$11,J39=$Y$11),$W$11,IF(OR(J39=$X$12,J39=$Y$12),$W$12,IF(OR(J39=$X$13,J39=$Y$13),$W$13)))))))</f>
        <v>0.4</v>
      </c>
      <c r="L39" s="139" t="str">
        <f t="shared" ref="L39" si="24">+IF(J39="","",IF(J39="N/A","",IF(OR(J39=$X$9,J39=$Y$9),$V$9,IF(OR(J39=$X$10,J39=$Y$10),$V$10,IF(OR(J39=$X$11,J39=$Y$11),$V$11,IF(OR(J39=$X$12,J39=$Y$12),$V$12,IF(OR(J39=$X$13,J39=$Y$13),$V$13)))))))</f>
        <v>Menor</v>
      </c>
      <c r="M39" s="140">
        <f t="shared" ref="M39" si="25">+IF(H39="",K39,IF(K39="",H39,IF(H39&gt;K39,H39,K39)))</f>
        <v>0.4</v>
      </c>
      <c r="N39" s="141" t="str">
        <f t="shared" ref="N39" si="26">+IF(M39="","",IF(M39=$W$9,$V$9,IF(M39=$W$10,$V$10,IF(M39=$W$11,$V$11,IF(M39=$W$12,$V$12,IF(M39=$W$13,$V$13))))))</f>
        <v>Menor</v>
      </c>
    </row>
  </sheetData>
  <sheetProtection formatCells="0" formatColumns="0" formatRows="0" sort="0" autoFilter="0" pivotTables="0"/>
  <autoFilter ref="A8:N8"/>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39">
    <cfRule type="cellIs" dxfId="278" priority="11" operator="equal">
      <formula>$T$9</formula>
    </cfRule>
    <cfRule type="cellIs" dxfId="277" priority="12" operator="equal">
      <formula>$T$10</formula>
    </cfRule>
    <cfRule type="cellIs" dxfId="276" priority="13" operator="equal">
      <formula>$T$11</formula>
    </cfRule>
    <cfRule type="cellIs" dxfId="275" priority="14" operator="equal">
      <formula>$T$12</formula>
    </cfRule>
    <cfRule type="cellIs" dxfId="274" priority="15" operator="equal">
      <formula>$T$13</formula>
    </cfRule>
  </conditionalFormatting>
  <conditionalFormatting sqref="F9:F39">
    <cfRule type="cellIs" dxfId="273" priority="46" operator="equal">
      <formula>$P$9</formula>
    </cfRule>
    <cfRule type="cellIs" dxfId="272" priority="47" operator="equal">
      <formula>$P$10</formula>
    </cfRule>
    <cfRule type="cellIs" dxfId="271" priority="48" operator="equal">
      <formula>$P$11</formula>
    </cfRule>
    <cfRule type="cellIs" dxfId="270" priority="49" operator="equal">
      <formula>$P$12</formula>
    </cfRule>
    <cfRule type="cellIs" dxfId="269" priority="50" operator="equal">
      <formula>$P$13</formula>
    </cfRule>
  </conditionalFormatting>
  <conditionalFormatting sqref="G9:G39">
    <cfRule type="cellIs" dxfId="268" priority="6" operator="equal">
      <formula>$T$9</formula>
    </cfRule>
    <cfRule type="cellIs" dxfId="267" priority="7" operator="equal">
      <formula>$T$10</formula>
    </cfRule>
    <cfRule type="cellIs" dxfId="266" priority="8" operator="equal">
      <formula>$T$11</formula>
    </cfRule>
    <cfRule type="cellIs" dxfId="265" priority="9" operator="equal">
      <formula>$T$12</formula>
    </cfRule>
    <cfRule type="cellIs" dxfId="264" priority="10" operator="equal">
      <formula>$T$13</formula>
    </cfRule>
  </conditionalFormatting>
  <conditionalFormatting sqref="H9:H39">
    <cfRule type="cellIs" dxfId="263" priority="31" operator="equal">
      <formula>$W$9</formula>
    </cfRule>
    <cfRule type="cellIs" dxfId="262" priority="32" operator="equal">
      <formula>$W$10</formula>
    </cfRule>
    <cfRule type="cellIs" dxfId="261" priority="33" operator="equal">
      <formula>$W$11</formula>
    </cfRule>
    <cfRule type="cellIs" dxfId="260" priority="34" operator="equal">
      <formula>$W$12</formula>
    </cfRule>
    <cfRule type="cellIs" dxfId="259" priority="35" operator="equal">
      <formula>$W$13</formula>
    </cfRule>
  </conditionalFormatting>
  <conditionalFormatting sqref="I9:J39">
    <cfRule type="cellIs" dxfId="258" priority="1" operator="equal">
      <formula>$V$9</formula>
    </cfRule>
    <cfRule type="cellIs" dxfId="257" priority="2" operator="equal">
      <formula>$V$10</formula>
    </cfRule>
    <cfRule type="cellIs" dxfId="256" priority="3" operator="equal">
      <formula>$V$11</formula>
    </cfRule>
    <cfRule type="cellIs" dxfId="255" priority="4" operator="equal">
      <formula>$V$12</formula>
    </cfRule>
    <cfRule type="cellIs" dxfId="254" priority="5" operator="equal">
      <formula>$V$13</formula>
    </cfRule>
  </conditionalFormatting>
  <conditionalFormatting sqref="K9:K39">
    <cfRule type="cellIs" dxfId="253" priority="26" operator="equal">
      <formula>$W$9</formula>
    </cfRule>
    <cfRule type="cellIs" dxfId="252" priority="27" operator="equal">
      <formula>$W$10</formula>
    </cfRule>
    <cfRule type="cellIs" dxfId="251" priority="28" operator="equal">
      <formula>$W$11</formula>
    </cfRule>
    <cfRule type="cellIs" dxfId="250" priority="29" operator="equal">
      <formula>$W$12</formula>
    </cfRule>
    <cfRule type="cellIs" dxfId="249" priority="30" operator="equal">
      <formula>$W$13</formula>
    </cfRule>
  </conditionalFormatting>
  <conditionalFormatting sqref="L9:L39">
    <cfRule type="cellIs" dxfId="248" priority="41" operator="equal">
      <formula>$V$9</formula>
    </cfRule>
    <cfRule type="cellIs" dxfId="247" priority="42" operator="equal">
      <formula>$V$10</formula>
    </cfRule>
    <cfRule type="cellIs" dxfId="246" priority="43" operator="equal">
      <formula>$V$11</formula>
    </cfRule>
    <cfRule type="cellIs" dxfId="245" priority="44" operator="equal">
      <formula>$V$12</formula>
    </cfRule>
    <cfRule type="cellIs" dxfId="244" priority="45" operator="equal">
      <formula>$V$13</formula>
    </cfRule>
  </conditionalFormatting>
  <conditionalFormatting sqref="M9:M39">
    <cfRule type="cellIs" dxfId="243" priority="16" operator="equal">
      <formula>$W$9</formula>
    </cfRule>
    <cfRule type="cellIs" dxfId="242" priority="17" operator="equal">
      <formula>$W$10</formula>
    </cfRule>
    <cfRule type="cellIs" dxfId="241" priority="18" operator="equal">
      <formula>$W$11</formula>
    </cfRule>
    <cfRule type="cellIs" dxfId="240" priority="19" operator="equal">
      <formula>$W$12</formula>
    </cfRule>
    <cfRule type="cellIs" dxfId="239" priority="20" operator="equal">
      <formula>$W$13</formula>
    </cfRule>
  </conditionalFormatting>
  <conditionalFormatting sqref="N9:N39">
    <cfRule type="cellIs" dxfId="238" priority="21" operator="equal">
      <formula>$V$9</formula>
    </cfRule>
    <cfRule type="cellIs" dxfId="237" priority="22" operator="equal">
      <formula>$V$10</formula>
    </cfRule>
    <cfRule type="cellIs" dxfId="236" priority="23" operator="equal">
      <formula>$V$11</formula>
    </cfRule>
    <cfRule type="cellIs" dxfId="235" priority="24" operator="equal">
      <formula>$V$12</formula>
    </cfRule>
    <cfRule type="cellIs" dxfId="234" priority="2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dataValidation allowBlank="1" showInputMessage="1" showErrorMessage="1" prompt="Es la materialización del riesgo y las consecuencias de su aparición. Su escala es: 5 bajo impacto, 10 medio, 20 alto impacto._x000a_" sqref="IP8:JA8"/>
    <dataValidation type="list" allowBlank="1" showInputMessage="1" showErrorMessage="1" sqref="IU12:JA12 IP9:JA11">
      <formula1>#REF!</formula1>
    </dataValidation>
    <dataValidation type="list" allowBlank="1" showInputMessage="1" showErrorMessage="1" sqref="G9:G39">
      <formula1>Afectación_Económica</formula1>
    </dataValidation>
    <dataValidation type="list" allowBlank="1" showInputMessage="1" showErrorMessage="1" sqref="J9:J39">
      <formula1>Reputacional</formula1>
    </dataValidation>
  </dataValidations>
  <printOptions horizontalCentered="1" verticalCentered="1"/>
  <pageMargins left="0.78740157480314965" right="0.78740157480314965" top="0.78740157480314965" bottom="0.78740157480314965" header="0.39370078740157483" footer="0.39370078740157483"/>
  <pageSetup scale="45" orientation="landscape" r:id="rId1"/>
  <headerFooter alignWithMargins="0">
    <oddHeader>&amp;L&amp;"Arial,Negrita"&amp;12
MAPA DE RIESGOS &amp;"Arial,Normal"
Código: E-FO-017 | Versión: 13 | Fecha: Enero 29 de 2026&amp;C&amp;G</oddHeader>
    <oddFooter xml:space="preserve">&amp;L&amp;"Arial,Normal"&amp;12Teléfono: (+57) 601 601 2424 | Línea gratuita: 01 8000 41 37 95 | Código postal: 110221
Dirección: Carrera 10 No. 97A - 13, Torre A, Piso 6 | Bogotá D.C., Colombia 
www.apccolombia.gov.co
Página: &amp;P/&amp;N
</oddFooter>
  </headerFooter>
  <rowBreaks count="4" manualBreakCount="4">
    <brk id="14" max="24" man="1"/>
    <brk id="21" max="24" man="1"/>
    <brk id="28" max="24" man="1"/>
    <brk id="35" max="24" man="1"/>
  </rowBreaks>
  <colBreaks count="1" manualBreakCount="1">
    <brk id="14" max="1048575" man="1"/>
  </colBreaks>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F40"/>
  <sheetViews>
    <sheetView showGridLines="0" view="pageBreakPreview" topLeftCell="A9" zoomScale="60" zoomScaleNormal="70" workbookViewId="0">
      <selection activeCell="A19" sqref="A19"/>
    </sheetView>
  </sheetViews>
  <sheetFormatPr baseColWidth="10" defaultColWidth="14.42578125" defaultRowHeight="46.5" customHeight="1" x14ac:dyDescent="0.25"/>
  <cols>
    <col min="1" max="1" width="17.42578125" style="81" customWidth="1"/>
    <col min="2" max="2" width="29.42578125" style="81" customWidth="1"/>
    <col min="3" max="3" width="17.28515625" style="81" customWidth="1"/>
    <col min="4" max="4" width="16" style="81" customWidth="1"/>
    <col min="5" max="5" width="17" style="81" customWidth="1"/>
    <col min="6" max="6" width="3.85546875" style="81" customWidth="1"/>
    <col min="7" max="7" width="7.42578125" style="81" customWidth="1"/>
    <col min="8" max="8" width="11.5703125" style="81" customWidth="1"/>
    <col min="9" max="9" width="20.42578125" style="81" customWidth="1"/>
    <col min="10" max="10" width="18.140625" style="81" customWidth="1"/>
    <col min="11" max="11" width="16.140625" style="81" customWidth="1"/>
    <col min="12" max="12" width="16.42578125" style="81" customWidth="1"/>
    <col min="13" max="13" width="15.140625" style="81" customWidth="1"/>
    <col min="14" max="14" width="3.85546875" style="81" customWidth="1"/>
    <col min="15" max="15" width="4.85546875" style="81" customWidth="1"/>
    <col min="16" max="16" width="6.42578125" style="81" customWidth="1"/>
    <col min="17" max="17" width="11" style="81" customWidth="1"/>
    <col min="18" max="18" width="14" style="81" customWidth="1"/>
    <col min="19" max="21" width="12" style="81" customWidth="1"/>
    <col min="22" max="22" width="13.42578125" style="81" customWidth="1"/>
    <col min="23" max="23" width="13.28515625" style="81" customWidth="1"/>
    <col min="24" max="27" width="11.42578125" style="81" hidden="1" customWidth="1"/>
    <col min="28" max="28" width="5.42578125" style="81" hidden="1" customWidth="1"/>
    <col min="29" max="29" width="26.85546875" style="81" hidden="1" customWidth="1"/>
    <col min="30" max="34" width="22.85546875" style="81" hidden="1" customWidth="1"/>
    <col min="35" max="35" width="23.42578125" style="81" hidden="1" customWidth="1"/>
    <col min="36" max="263" width="11.42578125" style="81" hidden="1" customWidth="1"/>
    <col min="264" max="264" width="12.42578125" style="81" hidden="1" customWidth="1"/>
    <col min="265" max="265" width="47" style="81" hidden="1" customWidth="1"/>
    <col min="266" max="266" width="35" style="81" hidden="1" customWidth="1"/>
    <col min="267" max="16384" width="14.42578125" style="81"/>
  </cols>
  <sheetData>
    <row r="1" spans="1:36" s="174" customFormat="1" ht="15.75" x14ac:dyDescent="0.25">
      <c r="A1" s="388"/>
      <c r="B1" s="170" t="str">
        <f>+'2 CONTEXTO E IDENTIFICACIÓN'!A1</f>
        <v>MAPA DE RIESGOS</v>
      </c>
      <c r="C1" s="78"/>
      <c r="D1" s="79"/>
    </row>
    <row r="2" spans="1:36" s="174" customFormat="1" ht="43.5" customHeight="1" x14ac:dyDescent="0.25">
      <c r="A2" s="388"/>
      <c r="B2" s="170"/>
      <c r="C2" s="83" t="str">
        <f>+'2 CONTEXTO E IDENTIFICACIÓN'!A2</f>
        <v>VERSIÓN:</v>
      </c>
      <c r="D2" s="90">
        <f>'2 CONTEXTO E IDENTIFICACIÓN'!B2</f>
        <v>1</v>
      </c>
      <c r="E2" s="108"/>
      <c r="F2" s="108"/>
      <c r="G2" s="108"/>
      <c r="H2" s="193"/>
      <c r="I2" s="195" t="str">
        <f>+'2 CONTEXTO E IDENTIFICACIÓN'!$I$4</f>
        <v>Elaboración o Actualización:</v>
      </c>
      <c r="J2" s="86">
        <f>'2 CONTEXTO E IDENTIFICACIÓN'!J4</f>
        <v>0</v>
      </c>
      <c r="K2" s="80"/>
      <c r="L2" s="80"/>
      <c r="M2" s="108"/>
      <c r="N2" s="108"/>
    </row>
    <row r="3" spans="1:36" s="174" customFormat="1" ht="15.75" x14ac:dyDescent="0.25">
      <c r="B3" s="108"/>
      <c r="C3" s="87"/>
      <c r="D3" s="108"/>
      <c r="E3" s="108"/>
      <c r="F3" s="108"/>
      <c r="G3" s="108"/>
      <c r="I3" s="83" t="str">
        <f>+'2 CONTEXTO E IDENTIFICACIÓN'!$E$5</f>
        <v xml:space="preserve">Vigencia: </v>
      </c>
      <c r="J3" s="86">
        <f>'2 CONTEXTO E IDENTIFICACIÓN'!G5</f>
        <v>46023</v>
      </c>
      <c r="K3" s="94" t="s">
        <v>61</v>
      </c>
      <c r="L3" s="86">
        <f>'2 CONTEXTO E IDENTIFICACIÓN'!J5</f>
        <v>46387</v>
      </c>
      <c r="M3" s="108"/>
      <c r="N3" s="108"/>
    </row>
    <row r="4" spans="1:36" s="174" customFormat="1" ht="16.5" thickBot="1" x14ac:dyDescent="0.3">
      <c r="B4" s="108"/>
      <c r="C4" s="87"/>
      <c r="D4" s="108"/>
      <c r="E4" s="108"/>
      <c r="F4" s="108"/>
      <c r="G4" s="108"/>
      <c r="I4" s="87"/>
      <c r="J4" s="89"/>
      <c r="K4" s="300"/>
      <c r="L4" s="89"/>
      <c r="M4" s="108"/>
      <c r="N4" s="108"/>
    </row>
    <row r="5" spans="1:36" s="174" customFormat="1" ht="60" customHeight="1" thickBot="1" x14ac:dyDescent="0.3">
      <c r="A5" s="90" t="s">
        <v>55</v>
      </c>
      <c r="B5" s="91" t="str">
        <f>'2 CONTEXTO E IDENTIFICACIÓN'!B4</f>
        <v>AGENCIA PRESIDENCIAL DE COOPERACIÓN INTERNACIONAL DE COLOMBIA APC COLOMBIA</v>
      </c>
      <c r="C5" s="92"/>
      <c r="D5" s="93"/>
      <c r="I5" s="389" t="s">
        <v>345</v>
      </c>
      <c r="J5" s="383" t="s">
        <v>346</v>
      </c>
      <c r="K5" s="384" t="s">
        <v>347</v>
      </c>
      <c r="L5" s="385" t="s">
        <v>348</v>
      </c>
    </row>
    <row r="6" spans="1:36" s="174" customFormat="1" ht="16.5" thickBot="1" x14ac:dyDescent="0.3">
      <c r="A6" s="90" t="s">
        <v>57</v>
      </c>
      <c r="B6" s="95">
        <f>'2 CONTEXTO E IDENTIFICACIÓN'!F4</f>
        <v>0</v>
      </c>
      <c r="C6" s="96"/>
      <c r="D6" s="96"/>
    </row>
    <row r="7" spans="1:36" s="174" customFormat="1" ht="46.5" customHeight="1" thickBot="1" x14ac:dyDescent="0.3">
      <c r="A7" s="108"/>
      <c r="B7" s="99"/>
      <c r="C7" s="99"/>
      <c r="D7" s="108"/>
      <c r="G7" s="390" t="s">
        <v>349</v>
      </c>
      <c r="H7" s="391"/>
      <c r="I7" s="391"/>
      <c r="J7" s="391"/>
      <c r="K7" s="391"/>
      <c r="L7" s="391"/>
      <c r="M7" s="392"/>
      <c r="O7" s="393"/>
      <c r="P7" s="393"/>
      <c r="Q7" s="394"/>
      <c r="R7" s="312" t="s">
        <v>224</v>
      </c>
      <c r="S7" s="312"/>
      <c r="T7" s="312"/>
      <c r="U7" s="312"/>
      <c r="V7" s="313"/>
    </row>
    <row r="8" spans="1:36" ht="46.5" customHeight="1" x14ac:dyDescent="0.25">
      <c r="A8" s="111"/>
      <c r="B8" s="147"/>
      <c r="C8" s="170" t="s">
        <v>350</v>
      </c>
      <c r="D8" s="170"/>
      <c r="E8" s="170"/>
      <c r="F8" s="108"/>
      <c r="G8" s="310"/>
      <c r="H8" s="311"/>
      <c r="I8" s="312" t="s">
        <v>224</v>
      </c>
      <c r="J8" s="312"/>
      <c r="K8" s="312"/>
      <c r="L8" s="312"/>
      <c r="M8" s="313"/>
      <c r="N8" s="108"/>
      <c r="O8" s="314"/>
      <c r="P8" s="314"/>
      <c r="R8" s="315">
        <v>0.2</v>
      </c>
      <c r="S8" s="315">
        <v>0.4</v>
      </c>
      <c r="T8" s="315">
        <v>0.6</v>
      </c>
      <c r="U8" s="315">
        <v>0.8</v>
      </c>
      <c r="V8" s="316">
        <v>1</v>
      </c>
      <c r="W8" s="317"/>
      <c r="X8" s="317"/>
      <c r="Y8" s="317"/>
      <c r="Z8" s="317"/>
      <c r="AA8" s="317"/>
      <c r="AB8" s="317"/>
      <c r="AC8" s="317"/>
    </row>
    <row r="9" spans="1:36" ht="46.5" customHeight="1" x14ac:dyDescent="0.25">
      <c r="A9" s="111" t="s">
        <v>351</v>
      </c>
      <c r="B9" s="147" t="s">
        <v>352</v>
      </c>
      <c r="C9" s="90" t="s">
        <v>304</v>
      </c>
      <c r="D9" s="90" t="s">
        <v>305</v>
      </c>
      <c r="E9" s="110" t="s">
        <v>353</v>
      </c>
      <c r="F9" s="108"/>
      <c r="G9" s="314"/>
      <c r="H9" s="90"/>
      <c r="I9" s="318" t="s">
        <v>323</v>
      </c>
      <c r="J9" s="318" t="s">
        <v>328</v>
      </c>
      <c r="K9" s="318" t="s">
        <v>332</v>
      </c>
      <c r="L9" s="318" t="s">
        <v>336</v>
      </c>
      <c r="M9" s="319" t="s">
        <v>341</v>
      </c>
      <c r="N9" s="108"/>
      <c r="O9" s="314"/>
      <c r="P9" s="314"/>
      <c r="Q9" s="172"/>
      <c r="R9" s="320" t="s">
        <v>323</v>
      </c>
      <c r="S9" s="320" t="s">
        <v>328</v>
      </c>
      <c r="T9" s="320" t="s">
        <v>332</v>
      </c>
      <c r="U9" s="320" t="s">
        <v>336</v>
      </c>
      <c r="V9" s="321" t="s">
        <v>341</v>
      </c>
      <c r="Y9" s="317"/>
      <c r="Z9" s="317"/>
      <c r="AA9" s="334"/>
      <c r="AB9" s="334"/>
      <c r="AC9" s="334"/>
      <c r="AD9" s="334"/>
      <c r="AE9" s="334"/>
      <c r="AF9" s="334"/>
      <c r="AG9" s="334"/>
      <c r="AH9" s="334"/>
      <c r="AI9" s="334"/>
      <c r="AJ9" s="334"/>
    </row>
    <row r="10" spans="1:36" ht="46.5" customHeight="1" x14ac:dyDescent="0.25">
      <c r="A10" s="118" t="str">
        <f>'2 CONTEXTO E IDENTIFICACIÓN'!A9</f>
        <v>R1</v>
      </c>
      <c r="B10" s="172" t="str">
        <f>+'2 CONTEXTO E IDENTIFICACIÓN'!J9</f>
        <v>Posibilidad de afectación reputacional por queja, reclamo o llamado de atención interno o externo. a causa de debido a un seguimiento inoportuno a la planeación institucional.</v>
      </c>
      <c r="C10" s="324" t="str">
        <f>+'3 PROBABIL E IMPACTO INHERENTE'!F9</f>
        <v>Media</v>
      </c>
      <c r="D10" s="324" t="str">
        <f>+'3 PROBABIL E IMPACTO INHERENTE'!N9</f>
        <v>Moderado</v>
      </c>
      <c r="E10" s="172"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G10" s="325" t="s">
        <v>205</v>
      </c>
      <c r="H10" s="318" t="s">
        <v>339</v>
      </c>
      <c r="I10" s="32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"&amp;IF(AND(C23=$Q$10,D23=$R$9),A23,"")&amp;" "&amp;IF(AND(C24=$Q$10,D24=$R$9),A24,"")&amp;" "&amp;IF(AND(C25=$Q$10,D25=$R$9),A25,"")&amp;" "&amp;IF(AND(C26=$Q$10,D26=$R$9),A26,"")&amp;" "&amp;IF(AND(C27=$Q$10,D27=$R$9),A27,"")&amp;" "&amp;IF(AND(C28=$Q$10,D28=$R$9),A28,"")&amp;" "&amp;IF(AND(C29=$Q$10,D29=$R$9),A29,"")&amp;" "&amp;IF(AND(C30=$Q$10,D30=$R$9),A30,"")&amp;" "&amp;IF(AND(C31=$Q$10,D31=$R$9),A31,"")&amp;" "&amp;IF(AND(C32=$Q$10,D32=$R$9),A32,"")&amp;" "&amp;IF(AND(C33=$Q$10,D33=$R$9),A33,"")&amp;" "&amp;IF(AND(C34=$Q$10,D34=$R$9),A34,"")&amp;" "&amp;IF(AND(C35=$Q$10,D35=$R$9),A35,"")&amp;" "&amp;IF(AND(C36=$Q$10,D36=$R$9),A36,"")&amp;" "&amp;IF(AND(C37=$Q$10,D37=$R$9),A37,"")&amp;" "&amp;IF(AND(C38=$Q$10,D38=$R$9),A38,"")&amp;" "&amp;IF(AND(C39=$Q$10,D39=$R$9),A39,"")&amp;" "&amp;IF(AND(C40=$Q$10,D40=$R$9),A40,"")</f>
        <v xml:space="preserve">                             </v>
      </c>
      <c r="J10" s="32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"&amp;IF(AND(C23=$Q$10,D23=$S$9),A23,"")&amp;" "&amp;IF(AND(C24=$Q$10,D24=$S$9),A24,"")&amp;" "&amp;IF(AND(C25=$Q$10,D25=$S$9),A25,"")&amp;" "&amp;IF(AND(C26=$Q$10,D26=$S$9),A26,"")&amp;" "&amp;IF(AND(C27=$Q$10,D27=$S$9),A27,"")&amp;" "&amp;IF(AND(C28=$Q$10,D28=$S$9),A28,"")&amp;" "&amp;IF(AND(C29=$Q$10,D29=$S$9),A29,"")&amp;" "&amp;IF(AND(C30=$Q$10,D30=$S$9),A30,"")&amp;" "&amp;IF(AND(C31=$Q$10,D31=$S$9),A31,"")&amp;" "&amp;IF(AND(C32=$Q$10,D32=$S$9),A32,"")&amp;" "&amp;IF(AND(C33=$Q$10,D33=$S$9),A33,"")&amp;" "&amp;IF(AND(C34=$Q$10,D34=$S$9),A34,"")&amp;" "&amp;IF(AND(C35=$Q$10,D35=$S$9),A35,"")&amp;" "&amp;IF(AND(C36=$Q$10,D36=$S$9),A36,"")&amp;" "&amp;IF(AND(C37=$Q$10,D37=$S$9),A37,"")&amp;" "&amp;IF(AND(C38=$Q$10,D38=$S$9),A38,"")&amp;" "&amp;IF(AND(C39=$Q$10,D39=$S$9),A39,"")&amp;" "&amp;IF(AND(C40=$Q$10,D40=$S$9),A40,"")</f>
        <v xml:space="preserve">                             </v>
      </c>
      <c r="K10" s="32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"&amp;IF(AND(C23=$Q$10,D23=$T$9),A23,"")&amp;" "&amp;IF(AND(C24=$Q$10,D24=$T$9),A24,"")&amp;" "&amp;IF(AND(C25=$Q$10,D25=$T$9),A25,"")&amp;" "&amp;IF(AND(C26=$Q$10,D26=$T$9),A26,"")&amp;" "&amp;IF(AND(C27=$Q$10,D27=$T$9),A27,"")&amp;" "&amp;IF(AND(C28=$Q$10,D28=$T$9),A28,"")&amp;" "&amp;IF(AND(C29=$Q$10,D29=$T$9),A29,"")&amp;" "&amp;IF(AND(C30=$Q$10,D30=$T$9),A30,"")&amp;" "&amp;IF(AND(C31=$Q$10,D31=$T$9),A31,"")&amp;" "&amp;IF(AND(C32=$Q$10,D32=$T$9),A32,"")&amp;" "&amp;IF(AND(C33=$Q$10,D33=$T$9),A33,"")&amp;" "&amp;IF(AND(C34=$Q$10,D34=$T$9),A34,"")&amp;" "&amp;IF(AND(C35=$Q$10,D35=$T$9),A35,"")&amp;" "&amp;IF(AND(C36=$Q$10,D36=$T$9),A36,"")&amp;" "&amp;IF(AND(C37=$Q$10,D37=$T$9),A37,"")&amp;" "&amp;IF(AND(C38=$Q$10,D38=$T$9),A38,"")&amp;" "&amp;IF(AND(C39=$Q$10,D39=$T$9),A39,"")&amp;" "&amp;IF(AND(C40=$Q$10,D40=$T$9),A40,"")</f>
        <v xml:space="preserve">                             </v>
      </c>
      <c r="L10" s="32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"&amp;IF(AND(C23=$Q$10,D23=$U$9),A23,"")&amp;" "&amp;IF(AND(C24=$Q$10,D24=$U$9),A24,"")&amp;" "&amp;IF(AND(C25=$Q$10,D25=$U$9),A25,"")&amp;" "&amp;IF(AND(C26=$Q$10,D26=$U$9),A26,"")&amp;" "&amp;IF(AND(C27=$Q$10,D27=$U$9),A27,"")&amp;" "&amp;IF(AND(C28=$Q$10,D28=$U$9),A28,"")&amp;" "&amp;IF(AND(C29=$Q$10,D29=$U$9),A29,"")&amp;" "&amp;IF(AND(C30=$Q$10,D30=$U$9),A30,"")&amp;" "&amp;IF(AND(C31=$Q$10,D31=$U$9),A31,"")&amp;" "&amp;IF(AND(C32=$Q$10,D32=$U$9),A32,"")&amp;" "&amp;IF(AND(C33=$Q$10,D33=$U$9),A33,"")&amp;" "&amp;IF(AND(C34=$Q$10,D34=$U$9),A34,"")&amp;" "&amp;IF(AND(C35=$Q$10,D35=$U$9),A35,"")&amp;" "&amp;IF(AND(C36=$Q$10,D36=$U$9),A36,"")&amp;" "&amp;IF(AND(C37=$Q$10,D37=$U$9),A37,"")&amp;" "&amp;IF(AND(C38=$Q$10,D38=$U$9),A38,"")&amp;" "&amp;IF(AND(C39=$Q$10,D39=$U$9),A39,"")&amp;" "&amp;IF(AND(C40=$Q$10,D40=$U$9),A40,"")</f>
        <v xml:space="preserve">                             </v>
      </c>
      <c r="M10" s="32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"&amp;IF(AND(C23=$Q$10,D23=$V$9),A23,"")&amp;" "&amp;IF(AND(C24=$Q$10,D24=$V$9),A24,"")&amp;" "&amp;IF(AND(C25=$Q$10,D25=$V$9),A25,"")&amp;" "&amp;IF(AND(C26=$Q$10,D26=$V$9),A26,"")&amp;" "&amp;IF(AND(C27=$Q$10,D27=$V$9),A27,"")&amp;" "&amp;IF(AND(C28=$Q$10,D28=$V$9),A28,"")&amp;" "&amp;IF(AND(C29=$Q$10,D29=$V$9),A29,"")&amp;" "&amp;IF(AND(C30=$Q$10,D30=$V$9),A30,"")&amp;" "&amp;IF(AND(C31=$Q$10,D31=$V$9),A31,"")&amp;" "&amp;IF(AND(C32=$Q$10,D32=$V$9),A32,"")&amp;" "&amp;IF(AND(C33=$Q$10,D33=$V$9),A33,"")&amp;" "&amp;IF(AND(C34=$Q$10,D34=$V$9),A34,"")&amp;" "&amp;IF(AND(C35=$Q$10,D35=$V$9),A35,"")&amp;" "&amp;IF(AND(C36=$Q$10,D36=$V$9),A36,"")&amp;" "&amp;IF(AND(C37=$Q$10,D37=$V$9),A37,"")&amp;" "&amp;IF(AND(C38=$Q$10,D38=$V$9),A38,"")&amp;" "&amp;IF(AND(C39=$Q$10,D39=$V$9),A39,"")&amp;" "&amp;IF(AND(C40=$Q$10,D40=$V$9),A40,"")</f>
        <v xml:space="preserve">                             </v>
      </c>
      <c r="O10" s="386" t="s">
        <v>205</v>
      </c>
      <c r="P10" s="329">
        <v>1</v>
      </c>
      <c r="Q10" s="320" t="s">
        <v>339</v>
      </c>
      <c r="R10" s="326" t="s">
        <v>354</v>
      </c>
      <c r="S10" s="326" t="s">
        <v>354</v>
      </c>
      <c r="T10" s="326" t="s">
        <v>354</v>
      </c>
      <c r="U10" s="326" t="s">
        <v>354</v>
      </c>
      <c r="V10" s="327" t="s">
        <v>355</v>
      </c>
      <c r="Y10" s="317"/>
      <c r="Z10" s="317"/>
      <c r="AA10" s="334"/>
      <c r="AB10" s="334"/>
      <c r="AC10" s="334"/>
      <c r="AD10" s="334"/>
      <c r="AE10" s="334"/>
      <c r="AF10" s="334"/>
      <c r="AG10" s="334"/>
      <c r="AH10" s="334"/>
      <c r="AI10" s="334"/>
      <c r="AJ10" s="334"/>
    </row>
    <row r="11" spans="1:36" ht="46.5" customHeight="1" x14ac:dyDescent="0.25">
      <c r="A11" s="118" t="str">
        <f>'2 CONTEXTO E IDENTIFICACIÓN'!A10</f>
        <v>R2</v>
      </c>
      <c r="B11" s="172" t="str">
        <f>+'2 CONTEXTO E IDENTIFICACIÓN'!J10</f>
        <v>Posibilidad  de efecto dañoso sobre el recurso público por    la generación de intereses moratorios en las planillas de seguridad social a causa de     no reporte de novedades dentro de los plazos establecidos</v>
      </c>
      <c r="C11" s="324" t="str">
        <f>+'3 PROBABIL E IMPACTO INHERENTE'!F10</f>
        <v>Baja</v>
      </c>
      <c r="D11" s="324" t="str">
        <f>+'3 PROBABIL E IMPACTO INHERENTE'!N10</f>
        <v>Leve</v>
      </c>
      <c r="E11" s="172"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Bajo</v>
      </c>
      <c r="G11" s="325"/>
      <c r="H11" s="318" t="s">
        <v>334</v>
      </c>
      <c r="I11" s="33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"&amp;IF(AND(C23=$Q$11,D23=$R$9),A23,"")&amp;" "&amp;IF(AND(C24=$Q$11,D24=$R$9),A24,"")&amp;" "&amp;IF(AND(C25=$Q$11,D25=$R$9),A25,"")&amp;" "&amp;IF(AND(C26=$Q$11,D26=$R$9),A26,"")&amp;" "&amp;IF(AND(C27=$Q$11,D27=$R$9),A27,"")&amp;" "&amp;IF(AND(C28=$Q$11,D28=$R$9),A28,"")&amp;" "&amp;IF(AND(C29=$Q$11,D29=$R$9),A29,"")&amp;" "&amp;IF(AND(C30=$Q$11,D30=$R$9),A30,"")&amp;" "&amp;IF(AND(C31=$Q$11,D31=$R$9),A31,"")&amp;" "&amp;IF(AND(C32=$Q$11,D32=$R$9),A32,"")&amp;" "&amp;IF(AND(C33=$Q$11,D33=$R$9),A33,"")&amp;" "&amp;IF(AND(C34=$Q$11,D34=$R$9),A34,"")&amp;" "&amp;IF(AND(C35=$Q$11,D35=$R$9),A35,"")&amp;" "&amp;IF(AND(C36=$Q$11,D36=$R$9),A36,"")&amp;" "&amp;IF(AND(C37=$Q$11,D37=$R$9),A37,"")&amp;" "&amp;IF(AND(C38=$Q$11,D38=$R$9),A38,"")&amp;" "&amp;IF(AND(C39=$Q$11,D39=$R$9),A39,"")&amp;" "&amp;IF(AND(C40=$Q$11,D40=$R$9),A40,"")</f>
        <v xml:space="preserve">                             </v>
      </c>
      <c r="J11" s="33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"&amp;IF(AND(C23=$Q$11,D23=$S$9),A23,"")&amp;" "&amp;IF(AND(C24=$Q$11,D24=$S$9),A24,"")&amp;" "&amp;IF(AND(C25=$Q$11,D25=$S$9),A25,"")&amp;" "&amp;IF(AND(C26=$Q$11,D26=$S$9),A26,"")&amp;" "&amp;IF(AND(C27=$Q$11,D27=$S$9),A27,"")&amp;" "&amp;IF(AND(C28=$Q$11,D28=$S$9),A28,"")&amp;" "&amp;IF(AND(C29=$Q$11,D29=$S$9),A29,"")&amp;" "&amp;IF(AND(C30=$Q$11,D30=$S$9),A30,"")&amp;" "&amp;IF(AND(C31=$Q$11,D31=$S$9),A31,"")&amp;" "&amp;IF(AND(C32=$Q$11,D32=$S$9),A32,"")&amp;" "&amp;IF(AND(C33=$Q$11,D33=$S$9),A33,"")&amp;" "&amp;IF(AND(C34=$Q$11,D34=$S$9),A34,"")&amp;" "&amp;IF(AND(C35=$Q$11,D35=$S$9),A35,"")&amp;" "&amp;IF(AND(C36=$Q$11,D36=$S$9),A36,"")&amp;" "&amp;IF(AND(C37=$Q$11,D37=$S$9),A37,"")&amp;" "&amp;IF(AND(C38=$Q$11,D38=$S$9),A38,"")&amp;" "&amp;IF(AND(C39=$Q$11,D39=$S$9),A39,"")&amp;" "&amp;IF(AND(C40=$Q$11,D40=$S$9),A40,"")</f>
        <v xml:space="preserve">                             </v>
      </c>
      <c r="K11" s="32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"&amp;IF(AND(C23=$Q$11,D23=$T$9),A23,"")&amp;" "&amp;IF(AND(C24=$Q$11,D24=$T$9),A24,"")&amp;" "&amp;IF(AND(C25=$Q$11,D25=$T$9),A25,"")&amp;" "&amp;IF(AND(C26=$Q$11,D26=$T$9),A26,"")&amp;" "&amp;IF(AND(C27=$Q$11,D27=$T$9),A27,"")&amp;" "&amp;IF(AND(C28=$Q$11,D28=$T$9),A28,"")&amp;" "&amp;IF(AND(C29=$Q$11,D29=$T$9),A29,"")&amp;" "&amp;IF(AND(C30=$Q$11,D30=$T$9),A30,"")&amp;" "&amp;IF(AND(C31=$Q$11,D31=$T$9),A31,"")&amp;" "&amp;IF(AND(C32=$Q$11,D32=$T$9),A32,"")&amp;" "&amp;IF(AND(C33=$Q$11,D33=$T$9),A33,"")&amp;" "&amp;IF(AND(C34=$Q$11,D34=$T$9),A34,"")&amp;" "&amp;IF(AND(C35=$Q$11,D35=$T$9),A35,"")&amp;" "&amp;IF(AND(C36=$Q$11,D36=$T$9),A36,"")&amp;" "&amp;IF(AND(C37=$Q$11,D37=$T$9),A37,"")&amp;" "&amp;IF(AND(C38=$Q$11,D38=$T$9),A38,"")&amp;" "&amp;IF(AND(C39=$Q$11,D39=$T$9),A39,"")&amp;" "&amp;IF(AND(C40=$Q$11,D40=$T$9),A40,"")</f>
        <v xml:space="preserve">             R15                </v>
      </c>
      <c r="L11" s="32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"&amp;IF(AND(C23=$Q$11,D23=$U$9),A23,"")&amp;" "&amp;IF(AND(C24=$Q$11,D24=$U$9),A24,"")&amp;" "&amp;IF(AND(C25=$Q$11,D25=$U$9),A25,"")&amp;" "&amp;IF(AND(C26=$Q$11,D26=$U$9),A26,"")&amp;" "&amp;IF(AND(C27=$Q$11,D27=$U$9),A27,"")&amp;" "&amp;IF(AND(C28=$Q$11,D28=$U$9),A28,"")&amp;" "&amp;IF(AND(C29=$Q$11,D29=$U$9),A29,"")&amp;" "&amp;IF(AND(C30=$Q$11,D30=$U$9),A30,"")&amp;" "&amp;IF(AND(C31=$Q$11,D31=$U$9),A31,"")&amp;" "&amp;IF(AND(C32=$Q$11,D32=$U$9),A32,"")&amp;" "&amp;IF(AND(C33=$Q$11,D33=$U$9),A33,"")&amp;" "&amp;IF(AND(C34=$Q$11,D34=$U$9),A34,"")&amp;" "&amp;IF(AND(C35=$Q$11,D35=$U$9),A35,"")&amp;" "&amp;IF(AND(C36=$Q$11,D36=$U$9),A36,"")&amp;" "&amp;IF(AND(C37=$Q$11,D37=$U$9),A37,"")&amp;" "&amp;IF(AND(C38=$Q$11,D38=$U$9),A38,"")&amp;" "&amp;IF(AND(C39=$Q$11,D39=$U$9),A39,"")&amp;" "&amp;IF(AND(C40=$Q$11,D40=$U$9),A40,"")</f>
        <v xml:space="preserve">                             </v>
      </c>
      <c r="M11" s="32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"&amp;IF(AND(C23=$Q$11,D23=$V$9),A23,"")&amp;" "&amp;IF(AND(C24=$Q$11,D24=$V$9),A24,"")&amp;" "&amp;IF(AND(C25=$Q$11,D25=$V$9),A25,"")&amp;" "&amp;IF(AND(C26=$Q$11,D26=$V$9),A26,"")&amp;" "&amp;IF(AND(C27=$Q$11,D27=$V$9),A27,"")&amp;" "&amp;IF(AND(C28=$Q$11,D28=$V$9),A28,"")&amp;" "&amp;IF(AND(C29=$Q$11,D29=$V$9),A29,"")&amp;" "&amp;IF(AND(C30=$Q$11,D30=$V$9),A30,"")&amp;" "&amp;IF(AND(C31=$Q$11,D31=$V$9),A31,"")&amp;" "&amp;IF(AND(C32=$Q$11,D32=$V$9),A32,"")&amp;" "&amp;IF(AND(C33=$Q$11,D33=$V$9),A33,"")&amp;" "&amp;IF(AND(C34=$Q$11,D34=$V$9),A34,"")&amp;" "&amp;IF(AND(C35=$Q$11,D35=$V$9),A35,"")&amp;" "&amp;IF(AND(C36=$Q$11,D36=$V$9),A36,"")&amp;" "&amp;IF(AND(C37=$Q$11,D37=$V$9),A37,"")&amp;" "&amp;IF(AND(C38=$Q$11,D38=$V$9),A38,"")&amp;" "&amp;IF(AND(C39=$Q$11,D39=$V$9),A39,"")&amp;" "&amp;IF(AND(C40=$Q$11,D40=$V$9),A40,"")</f>
        <v xml:space="preserve">                             </v>
      </c>
      <c r="O11" s="386"/>
      <c r="P11" s="329">
        <v>0.8</v>
      </c>
      <c r="Q11" s="320" t="s">
        <v>334</v>
      </c>
      <c r="R11" s="330" t="s">
        <v>332</v>
      </c>
      <c r="S11" s="330" t="s">
        <v>332</v>
      </c>
      <c r="T11" s="326" t="s">
        <v>354</v>
      </c>
      <c r="U11" s="326" t="s">
        <v>354</v>
      </c>
      <c r="V11" s="327" t="s">
        <v>355</v>
      </c>
      <c r="Y11" s="317"/>
      <c r="Z11" s="317"/>
      <c r="AA11" s="334"/>
      <c r="AB11" s="332"/>
      <c r="AC11" s="333"/>
      <c r="AD11" s="334"/>
      <c r="AE11" s="334"/>
      <c r="AF11" s="334"/>
      <c r="AG11" s="334"/>
      <c r="AH11" s="334"/>
      <c r="AI11" s="334"/>
      <c r="AJ11" s="334"/>
    </row>
    <row r="12" spans="1:36" ht="46.5" customHeight="1" x14ac:dyDescent="0.25">
      <c r="A12" s="118" t="str">
        <f>'2 CONTEXTO E IDENTIFICACIÓN'!A11</f>
        <v>R3</v>
      </c>
      <c r="B12" s="172" t="str">
        <f>+'2 CONTEXTO E IDENTIFICACIÓN'!J11</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C12" s="324" t="str">
        <f>+'3 PROBABIL E IMPACTO INHERENTE'!F11</f>
        <v>Media</v>
      </c>
      <c r="D12" s="324" t="str">
        <f>+'3 PROBABIL E IMPACTO INHERENTE'!N11</f>
        <v>Menor</v>
      </c>
      <c r="E12" s="172"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G12" s="325"/>
      <c r="H12" s="318" t="s">
        <v>330</v>
      </c>
      <c r="I12" s="33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"&amp;IF(AND(C23=$Q$12,D23=$R$9),A23,"")&amp;" "&amp;IF(AND(C24=$Q$12,D24=$R$9),A24,"")&amp;" "&amp;IF(AND(C25=$Q$12,D25=$R$9),A25,"")&amp;" "&amp;IF(AND(C26=$Q$12,D26=$R$9),A26,"")&amp;" "&amp;IF(AND(C27=$Q$12,D27=$R$9),A27,"")&amp;" "&amp;IF(AND(C28=$Q$12,D28=$R$9),A28,"")&amp;" "&amp;IF(AND(C29=$Q$12,D29=$R$9),A29,"")&amp;" "&amp;IF(AND(C30=$Q$12,D30=$R$9),A30,"")&amp;" "&amp;IF(AND(C31=$Q$12,D31=$R$9),A31,"")&amp;" "&amp;IF(AND(C32=$Q$12,D32=$R$9),A32,"")&amp;" "&amp;IF(AND(C33=$Q$12,D33=$R$9),A33,"")&amp;" "&amp;IF(AND(C34=$Q$12,D34=$R$9),A34,"")&amp;" "&amp;IF(AND(C35=$Q$12,D35=$R$9),A35,"")&amp;" "&amp;IF(AND(C36=$Q$12,D36=$R$9),A36,"")&amp;" "&amp;IF(AND(C37=$Q$12,D37=$R$9),A37,"")&amp;" "&amp;IF(AND(C38=$Q$12,D38=$R$9),A38,"")&amp;" "&amp;IF(AND(C39=$Q$12,D39=$R$9),A39,"")&amp;" "&amp;IF(AND(C40=$Q$12,D40=$R$9),A40,"")</f>
        <v xml:space="preserve">                             </v>
      </c>
      <c r="J12" s="33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"&amp;IF(AND(C23=$Q$12,D23=$S$9),A23,"")&amp;" "&amp;IF(AND(C24=$Q$12,D24=$S$9),A24,"")&amp;" "&amp;IF(AND(C25=$Q$12,D25=$S$9),A25,"")&amp;" "&amp;IF(AND(C26=$Q$12,D26=$S$9),A26,"")&amp;" "&amp;IF(AND(C27=$Q$12,D27=$S$9),A27,"")&amp;" "&amp;IF(AND(C28=$Q$12,D28=$S$9),A28,"")&amp;" "&amp;IF(AND(C29=$Q$12,D29=$S$9),A29,"")&amp;" "&amp;IF(AND(C30=$Q$12,D30=$S$9),A30,"")&amp;" "&amp;IF(AND(C31=$Q$12,D31=$S$9),A31,"")&amp;" "&amp;IF(AND(C32=$Q$12,D32=$S$9),A32,"")&amp;" "&amp;IF(AND(C33=$Q$12,D33=$S$9),A33,"")&amp;" "&amp;IF(AND(C34=$Q$12,D34=$S$9),A34,"")&amp;" "&amp;IF(AND(C35=$Q$12,D35=$S$9),A35,"")&amp;" "&amp;IF(AND(C36=$Q$12,D36=$S$9),A36,"")&amp;" "&amp;IF(AND(C37=$Q$12,D37=$S$9),A37,"")&amp;" "&amp;IF(AND(C38=$Q$12,D38=$S$9),A38,"")&amp;" "&amp;IF(AND(C39=$Q$12,D39=$S$9),A39,"")&amp;" "&amp;IF(AND(C40=$Q$12,D40=$S$9),A40,"")</f>
        <v xml:space="preserve">  R3                 R21          </v>
      </c>
      <c r="K12" s="33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"&amp;IF(AND(C23=$Q$12,D23=$T$9),A23,"")&amp;" "&amp;IF(AND(C24=$Q$12,D24=$T$9),A24,"")&amp;" "&amp;IF(AND(C25=$Q$12,D25=$T$9),A25,"")&amp;" "&amp;IF(AND(C26=$Q$12,D26=$T$9),A26,"")&amp;" "&amp;IF(AND(C27=$Q$12,D27=$T$9),A27,"")&amp;" "&amp;IF(AND(C28=$Q$12,D28=$T$9),A28,"")&amp;" "&amp;IF(AND(C29=$Q$12,D29=$T$9),A29,"")&amp;" "&amp;IF(AND(C30=$Q$12,D30=$T$9),A30,"")&amp;" "&amp;IF(AND(C31=$Q$12,D31=$T$9),A31,"")&amp;" "&amp;IF(AND(C32=$Q$12,D32=$T$9),A32,"")&amp;" "&amp;IF(AND(C33=$Q$12,D33=$T$9),A33,"")&amp;" "&amp;IF(AND(C34=$Q$12,D34=$T$9),A34,"")&amp;" "&amp;IF(AND(C35=$Q$12,D35=$T$9),A35,"")&amp;" "&amp;IF(AND(C36=$Q$12,D36=$T$9),A36,"")&amp;" "&amp;IF(AND(C37=$Q$12,D37=$T$9),A37,"")&amp;" "&amp;IF(AND(C38=$Q$12,D38=$T$9),A38,"")&amp;" "&amp;IF(AND(C39=$Q$12,D39=$T$9),A39,"")&amp;" "&amp;IF(AND(C40=$Q$12,D40=$T$9),A40,"")</f>
        <v xml:space="preserve">R1   R4 R5 R6  R8    R12 R14     R19   R22  R24   R27 R28   </v>
      </c>
      <c r="L12" s="32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"&amp;IF(AND(C23=$Q$12,D23=$U$9),A23,"")&amp;" "&amp;IF(AND(C24=$Q$12,D24=$U$9),A24,"")&amp;" "&amp;IF(AND(C25=$Q$12,D25=$U$9),A25,"")&amp;" "&amp;IF(AND(C26=$Q$12,D26=$U$9),A26,"")&amp;" "&amp;IF(AND(C27=$Q$12,D27=$U$9),A27,"")&amp;" "&amp;IF(AND(C28=$Q$12,D28=$U$9),A28,"")&amp;" "&amp;IF(AND(C29=$Q$12,D29=$U$9),A29,"")&amp;" "&amp;IF(AND(C30=$Q$12,D30=$U$9),A30,"")&amp;" "&amp;IF(AND(C31=$Q$12,D31=$U$9),A31,"")&amp;" "&amp;IF(AND(C32=$Q$12,D32=$U$9),A32,"")&amp;" "&amp;IF(AND(C33=$Q$12,D33=$U$9),A33,"")&amp;" "&amp;IF(AND(C34=$Q$12,D34=$U$9),A34,"")&amp;" "&amp;IF(AND(C35=$Q$12,D35=$U$9),A35,"")&amp;" "&amp;IF(AND(C36=$Q$12,D36=$U$9),A36,"")&amp;" "&amp;IF(AND(C37=$Q$12,D37=$U$9),A37,"")&amp;" "&amp;IF(AND(C38=$Q$12,D38=$U$9),A38,"")&amp;" "&amp;IF(AND(C39=$Q$12,D39=$U$9),A39,"")&amp;" "&amp;IF(AND(C40=$Q$12,D40=$U$9),A40,"")</f>
        <v xml:space="preserve">                             </v>
      </c>
      <c r="M12" s="32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"&amp;IF(AND(C23=$Q$12,D23=$V$9),A23,"")&amp;" "&amp;IF(AND(C24=$Q$12,D24=$V$9),A24,"")&amp;" "&amp;IF(AND(C25=$Q$12,D25=$V$9),A25,"")&amp;" "&amp;IF(AND(C26=$Q$12,D26=$V$9),A26,"")&amp;" "&amp;IF(AND(C27=$Q$12,D27=$V$9),A27,"")&amp;" "&amp;IF(AND(C28=$Q$12,D28=$V$9),A28,"")&amp;" "&amp;IF(AND(C29=$Q$12,D29=$V$9),A29,"")&amp;" "&amp;IF(AND(C30=$Q$12,D30=$V$9),A30,"")&amp;" "&amp;IF(AND(C31=$Q$12,D31=$V$9),A31,"")&amp;" "&amp;IF(AND(C32=$Q$12,D32=$V$9),A32,"")&amp;" "&amp;IF(AND(C33=$Q$12,D33=$V$9),A33,"")&amp;" "&amp;IF(AND(C34=$Q$12,D34=$V$9),A34,"")&amp;" "&amp;IF(AND(C35=$Q$12,D35=$V$9),A35,"")&amp;" "&amp;IF(AND(C36=$Q$12,D36=$V$9),A36,"")&amp;" "&amp;IF(AND(C37=$Q$12,D37=$V$9),A37,"")&amp;" "&amp;IF(AND(C38=$Q$12,D38=$V$9),A38,"")&amp;" "&amp;IF(AND(C39=$Q$12,D39=$V$9),A39,"")&amp;" "&amp;IF(AND(C40=$Q$12,D40=$V$9),A40,"")</f>
        <v xml:space="preserve">                             </v>
      </c>
      <c r="O12" s="386"/>
      <c r="P12" s="329">
        <v>0.6</v>
      </c>
      <c r="Q12" s="320" t="s">
        <v>330</v>
      </c>
      <c r="R12" s="330" t="s">
        <v>332</v>
      </c>
      <c r="S12" s="330" t="s">
        <v>332</v>
      </c>
      <c r="T12" s="330" t="s">
        <v>332</v>
      </c>
      <c r="U12" s="326" t="s">
        <v>354</v>
      </c>
      <c r="V12" s="327" t="s">
        <v>355</v>
      </c>
      <c r="Y12" s="317"/>
      <c r="Z12" s="317"/>
      <c r="AA12" s="334"/>
      <c r="AB12" s="332"/>
      <c r="AC12" s="333"/>
      <c r="AD12" s="334"/>
      <c r="AE12" s="334"/>
      <c r="AF12" s="334"/>
      <c r="AG12" s="334"/>
      <c r="AH12" s="334"/>
      <c r="AI12" s="334"/>
      <c r="AJ12" s="334"/>
    </row>
    <row r="13" spans="1:36" ht="46.5" customHeight="1" x14ac:dyDescent="0.25">
      <c r="A13" s="118" t="str">
        <f>'2 CONTEXTO E IDENTIFICACIÓN'!A12</f>
        <v>R4</v>
      </c>
      <c r="B13" s="172" t="str">
        <f>+'2 CONTEXTO E IDENTIFICACIÓN'!J12</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13" s="324" t="str">
        <f>+'3 PROBABIL E IMPACTO INHERENTE'!F12</f>
        <v>Media</v>
      </c>
      <c r="D13" s="324" t="str">
        <f>+'3 PROBABIL E IMPACTO INHERENTE'!N12</f>
        <v>Moderado</v>
      </c>
      <c r="E13" s="172" t="str">
        <f t="shared" ref="E13:E30"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G13" s="325"/>
      <c r="H13" s="318" t="s">
        <v>326</v>
      </c>
      <c r="I13" s="335"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"&amp;IF(AND(C23=$Q$13,D23=$R$9),A23,"")&amp;" "&amp;IF(AND(C24=$Q$13,D24=$R$9),A24,"")&amp;" "&amp;IF(AND(C25=$Q$13,D25=$R$9),A25,"")&amp;" "&amp;IF(AND(C26=$Q$13,D26=$R$9),A26,"")&amp;" "&amp;IF(AND(C27=$Q$13,D27=$R$9),A27,"")&amp;" "&amp;IF(AND(C28=$Q$13,D28=$R$9),A28,"")&amp;" "&amp;IF(AND(C29=$Q$13,D29=$R$9),A29,"")&amp;" "&amp;IF(AND(C30=$Q$13,D30=$R$9),A30,"")&amp;" "&amp;IF(AND(C31=$Q$13,D31=$R$9),A31,"")&amp;" "&amp;IF(AND(C32=$Q$13,D32=$R$9),A32,"")&amp;" "&amp;IF(AND(C33=$Q$13,D33=$R$9),A33,"")&amp;" "&amp;IF(AND(C34=$Q$13,D34=$R$9),A34,"")&amp;" "&amp;IF(AND(C35=$Q$13,D35=$R$9),A35,"")&amp;" "&amp;IF(AND(C36=$Q$13,D36=$R$9),A36,"")&amp;" "&amp;IF(AND(C37=$Q$13,D37=$R$9),A37,"")&amp;" "&amp;IF(AND(C38=$Q$13,D38=$R$9),A38,"")&amp;" "&amp;IF(AND(C39=$Q$13,D39=$R$9),A39,"")&amp;" "&amp;IF(AND(C40=$Q$13,D40=$R$9),A40,"")</f>
        <v xml:space="preserve"> R2                            </v>
      </c>
      <c r="J13" s="33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"&amp;IF(AND(C23=$Q$13,D23=$S$9),A23,"")&amp;" "&amp;IF(AND(C24=$Q$13,D24=$S$9),A24,"")&amp;" "&amp;IF(AND(C25=$Q$13,D25=$S$9),A25,"")&amp;" "&amp;IF(AND(C26=$Q$13,D26=$S$9),A26,"")&amp;" "&amp;IF(AND(C27=$Q$13,D27=$S$9),A27,"")&amp;" "&amp;IF(AND(C28=$Q$13,D28=$S$9),A28,"")&amp;" "&amp;IF(AND(C29=$Q$13,D29=$S$9),A29,"")&amp;" "&amp;IF(AND(C30=$Q$13,D30=$S$9),A30,"")&amp;" "&amp;IF(AND(C31=$Q$13,D31=$S$9),A31,"")&amp;" "&amp;IF(AND(C32=$Q$13,D32=$S$9),A32,"")&amp;" "&amp;IF(AND(C33=$Q$13,D33=$S$9),A33,"")&amp;" "&amp;IF(AND(C34=$Q$13,D34=$S$9),A34,"")&amp;" "&amp;IF(AND(C35=$Q$13,D35=$S$9),A35,"")&amp;" "&amp;IF(AND(C36=$Q$13,D36=$S$9),A36,"")&amp;" "&amp;IF(AND(C37=$Q$13,D37=$S$9),A37,"")&amp;" "&amp;IF(AND(C38=$Q$13,D38=$S$9),A38,"")&amp;" "&amp;IF(AND(C39=$Q$13,D39=$S$9),A39,"")&amp;" "&amp;IF(AND(C40=$Q$13,D40=$S$9),A40,"")</f>
        <v xml:space="preserve">      R7  R9 R10 R11    R16 R17 R18  R20   R23  R25 R26   R29 R30 R31</v>
      </c>
      <c r="K13" s="33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"&amp;IF(AND(C23=$Q$13,D23=$T$9),A23,"")&amp;" "&amp;IF(AND(C24=$Q$13,D24=$T$9),A24,"")&amp;" "&amp;IF(AND(C25=$Q$13,D25=$T$9),A25,"")&amp;" "&amp;IF(AND(C26=$Q$13,D26=$T$9),A26,"")&amp;" "&amp;IF(AND(C27=$Q$13,D27=$T$9),A27,"")&amp;" "&amp;IF(AND(C28=$Q$13,D28=$T$9),A28,"")&amp;" "&amp;IF(AND(C29=$Q$13,D29=$T$9),A29,"")&amp;" "&amp;IF(AND(C30=$Q$13,D30=$T$9),A30,"")&amp;" "&amp;IF(AND(C31=$Q$13,D31=$T$9),A31,"")&amp;" "&amp;IF(AND(C32=$Q$13,D32=$T$9),A32,"")&amp;" "&amp;IF(AND(C33=$Q$13,D33=$T$9),A33,"")&amp;" "&amp;IF(AND(C34=$Q$13,D34=$T$9),A34,"")&amp;" "&amp;IF(AND(C35=$Q$13,D35=$T$9),A35,"")&amp;" "&amp;IF(AND(C36=$Q$13,D36=$T$9),A36,"")&amp;" "&amp;IF(AND(C37=$Q$13,D37=$T$9),A37,"")&amp;" "&amp;IF(AND(C38=$Q$13,D38=$T$9),A38,"")&amp;" "&amp;IF(AND(C39=$Q$13,D39=$T$9),A39,"")&amp;" "&amp;IF(AND(C40=$Q$13,D40=$T$9),A40,"")</f>
        <v xml:space="preserve">                             </v>
      </c>
      <c r="L13" s="32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"&amp;IF(AND(C23=$Q$13,D23=$U$9),A23,"")&amp;" "&amp;IF(AND(C24=$Q$13,D24=$U$9),A24,"")&amp;" "&amp;IF(AND(C25=$Q$13,D25=$U$9),A25,"")&amp;" "&amp;IF(AND(C26=$Q$13,D26=$U$9),A26,"")&amp;" "&amp;IF(AND(C27=$Q$13,D27=$U$9),A27,"")&amp;" "&amp;IF(AND(C28=$Q$13,D28=$U$9),A28,"")&amp;" "&amp;IF(AND(C29=$Q$13,D29=$U$9),A29,"")&amp;" "&amp;IF(AND(C30=$Q$13,D30=$U$9),A30,"")&amp;" "&amp;IF(AND(C31=$Q$13,D31=$U$9),A31,"")&amp;" "&amp;IF(AND(C32=$Q$13,D32=$U$9),A32,"")&amp;" "&amp;IF(AND(C33=$Q$13,D33=$U$9),A33,"")&amp;" "&amp;IF(AND(C34=$Q$13,D34=$U$9),A34,"")&amp;" "&amp;IF(AND(C35=$Q$13,D35=$U$9),A35,"")&amp;" "&amp;IF(AND(C36=$Q$13,D36=$U$9),A36,"")&amp;" "&amp;IF(AND(C37=$Q$13,D37=$U$9),A37,"")&amp;" "&amp;IF(AND(C38=$Q$13,D38=$U$9),A38,"")&amp;" "&amp;IF(AND(C39=$Q$13,D39=$U$9),A39,"")&amp;" "&amp;IF(AND(C40=$Q$13,D40=$U$9),A40,"")</f>
        <v xml:space="preserve">                             </v>
      </c>
      <c r="M13" s="32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"&amp;IF(AND(C23=$Q$13,D23=$V$9),A23,"")&amp;" "&amp;IF(AND(C24=$Q$13,D24=$V$9),A24,"")&amp;" "&amp;IF(AND(C25=$Q$13,D25=$V$9),A25,"")&amp;" "&amp;IF(AND(C26=$Q$13,D26=$V$9),A26,"")&amp;" "&amp;IF(AND(C27=$Q$13,D27=$V$9),A27,"")&amp;" "&amp;IF(AND(C28=$Q$13,D28=$V$9),A28,"")&amp;" "&amp;IF(AND(C29=$Q$13,D29=$V$9),A29,"")&amp;" "&amp;IF(AND(C30=$Q$13,D30=$V$9),A30,"")&amp;" "&amp;IF(AND(C31=$Q$13,D31=$V$9),A31,"")&amp;" "&amp;IF(AND(C32=$Q$13,D32=$V$9),A32,"")&amp;" "&amp;IF(AND(C33=$Q$13,D33=$V$9),A33,"")&amp;" "&amp;IF(AND(C34=$Q$13,D34=$V$9),A34,"")&amp;" "&amp;IF(AND(C35=$Q$13,D35=$V$9),A35,"")&amp;" "&amp;IF(AND(C36=$Q$13,D36=$V$9),A36,"")&amp;" "&amp;IF(AND(C37=$Q$13,D37=$V$9),A37,"")&amp;" "&amp;IF(AND(C38=$Q$13,D38=$V$9),A38,"")&amp;" "&amp;IF(AND(C39=$Q$13,D39=$V$9),A39,"")&amp;" "&amp;IF(AND(C40=$Q$13,D40=$V$9),A40,"")</f>
        <v xml:space="preserve">                             </v>
      </c>
      <c r="O13" s="386"/>
      <c r="P13" s="329">
        <v>0.4</v>
      </c>
      <c r="Q13" s="320" t="s">
        <v>326</v>
      </c>
      <c r="R13" s="335" t="s">
        <v>356</v>
      </c>
      <c r="S13" s="330" t="s">
        <v>332</v>
      </c>
      <c r="T13" s="330" t="s">
        <v>332</v>
      </c>
      <c r="U13" s="326" t="s">
        <v>354</v>
      </c>
      <c r="V13" s="327" t="s">
        <v>355</v>
      </c>
      <c r="Y13" s="317"/>
      <c r="Z13" s="317"/>
      <c r="AA13" s="334"/>
      <c r="AB13" s="332"/>
      <c r="AC13" s="333"/>
      <c r="AD13" s="334"/>
      <c r="AE13" s="334"/>
      <c r="AF13" s="334"/>
      <c r="AG13" s="334"/>
      <c r="AH13" s="334"/>
      <c r="AI13" s="334"/>
      <c r="AJ13" s="334"/>
    </row>
    <row r="14" spans="1:36" ht="46.5" customHeight="1" thickBot="1" x14ac:dyDescent="0.3">
      <c r="A14" s="118" t="str">
        <f>'2 CONTEXTO E IDENTIFICACIÓN'!A13</f>
        <v>R5</v>
      </c>
      <c r="B14" s="172" t="str">
        <f>+'2 CONTEXTO E IDENTIFICACIÓN'!J13</f>
        <v>Posibilidad de afectación reputacional por pérdida de credibilidad en el ejercicio auditor. a causa de  de emitir conclusiones, recomendaciones, hallazgos erróneos u omisiones en las actividades de auditoría interna.</v>
      </c>
      <c r="C14" s="324" t="str">
        <f>+'3 PROBABIL E IMPACTO INHERENTE'!F13</f>
        <v>Media</v>
      </c>
      <c r="D14" s="324" t="str">
        <f>+'3 PROBABIL E IMPACTO INHERENTE'!N13</f>
        <v>Moderado</v>
      </c>
      <c r="E14" s="172" t="str">
        <f t="shared" si="0"/>
        <v>Moderado</v>
      </c>
      <c r="G14" s="336"/>
      <c r="H14" s="337" t="s">
        <v>321</v>
      </c>
      <c r="I14" s="338"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"&amp;IF(AND(C23=$Q$14,D23=$R$9),A23,"")&amp;" "&amp;IF(AND(C24=$Q$14,D24=$R$9),A24,"")&amp;" "&amp;IF(AND(C25=$Q$14,D25=$R$9),A25,"")&amp;" "&amp;IF(AND(C26=$Q$14,D26=$R$9),A26,"")&amp;" "&amp;IF(AND(C27=$Q$14,D27=$R$9),A27,"")&amp;" "&amp;IF(AND(C28=$Q$14,D28=$R$9),A28,"")&amp;" "&amp;IF(AND(C29=$Q$14,D29=$R$9),A29,"")&amp;" "&amp;IF(AND(C30=$Q$14,D30=$R$9),A30,"")&amp;" "&amp;IF(AND(C31=$Q$14,D31=$R$9),A31,"")&amp;" "&amp;IF(AND(C32=$Q$14,D32=$R$9),A32,"")&amp;" "&amp;IF(AND(C33=$Q$14,D33=$R$9),A33,"")&amp;" "&amp;IF(AND(C34=$Q$14,D34=$R$9),A34,"")&amp;" "&amp;IF(AND(C35=$Q$14,D35=$R$9),A35,"")&amp;" "&amp;IF(AND(C36=$Q$14,D36=$R$9),A36,"")&amp;" "&amp;IF(AND(C37=$Q$14,D37=$R$9),A37,"")&amp;" "&amp;IF(AND(C38=$Q$14,D38=$R$9),A38,"")&amp;" "&amp;IF(AND(C39=$Q$14,D39=$R$9),A39,"")&amp;" "&amp;IF(AND(C40=$Q$14,D40=$R$9),A40,"")</f>
        <v xml:space="preserve">                             </v>
      </c>
      <c r="J14" s="338"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"&amp;IF(AND(C23=$Q$14,D23=$S$9),A23,"")&amp;" "&amp;IF(AND(C24=$Q$14,D24=$S$9),A24,"")&amp;" "&amp;IF(AND(C25=$Q$14,D25=$S$9),A25,"")&amp;" "&amp;IF(AND(C26=$Q$14,D26=$S$9),A26,"")&amp;" "&amp;IF(AND(C27=$Q$14,D27=$S$9),A27,"")&amp;" "&amp;IF(AND(C28=$Q$14,D28=$S$9),A28,"")&amp;" "&amp;IF(AND(C29=$Q$14,D29=$S$9),A29,"")&amp;" "&amp;IF(AND(C30=$Q$14,D30=$S$9),A30,"")&amp;" "&amp;IF(AND(C31=$Q$14,D31=$S$9),A31,"")&amp;" "&amp;IF(AND(C32=$Q$14,D32=$S$9),A32,"")&amp;" "&amp;IF(AND(C33=$Q$14,D33=$S$9),A33,"")&amp;" "&amp;IF(AND(C34=$Q$14,D34=$S$9),A34,"")&amp;" "&amp;IF(AND(C35=$Q$14,D35=$S$9),A35,"")&amp;" "&amp;IF(AND(C36=$Q$14,D36=$S$9),A36,"")&amp;" "&amp;IF(AND(C37=$Q$14,D37=$S$9),A37,"")&amp;" "&amp;IF(AND(C38=$Q$14,D38=$S$9),A38,"")&amp;" "&amp;IF(AND(C39=$Q$14,D39=$S$9),A39,"")&amp;" "&amp;IF(AND(C40=$Q$14,D40=$S$9),A40,"")</f>
        <v xml:space="preserve">                             </v>
      </c>
      <c r="K14" s="339"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"&amp;IF(AND(C23=$Q$14,D23=$T$9),A23,"")&amp;" "&amp;IF(AND(C24=$Q$14,D24=$T$9),A24,"")&amp;" "&amp;IF(AND(C25=$Q$14,D25=$T$9),A25,"")&amp;" "&amp;IF(AND(C26=$Q$14,D26=$T$9),A26,"")&amp;" "&amp;IF(AND(C27=$Q$14,D27=$T$9),A27,"")&amp;" "&amp;IF(AND(C28=$Q$14,D28=$T$9),A28,"")&amp;" "&amp;IF(AND(C29=$Q$14,D29=$T$9),A29,"")&amp;" "&amp;IF(AND(C30=$Q$14,D30=$T$9),A30,"")&amp;" "&amp;IF(AND(C31=$Q$14,D31=$T$9),A31,"")&amp;" "&amp;IF(AND(C32=$Q$14,D32=$T$9),A32,"")&amp;" "&amp;IF(AND(C33=$Q$14,D33=$T$9),A33,"")&amp;" "&amp;IF(AND(C34=$Q$14,D34=$T$9),A34,"")&amp;" "&amp;IF(AND(C35=$Q$14,D35=$T$9),A35,"")&amp;" "&amp;IF(AND(C36=$Q$14,D36=$T$9),A36,"")&amp;" "&amp;IF(AND(C37=$Q$14,D37=$T$9),A37,"")&amp;" "&amp;IF(AND(C38=$Q$14,D38=$T$9),A38,"")&amp;" "&amp;IF(AND(C39=$Q$14,D39=$T$9),A39,"")&amp;" "&amp;IF(AND(C40=$Q$14,D40=$T$9),A40,"")</f>
        <v xml:space="preserve">                             </v>
      </c>
      <c r="L14" s="340"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"&amp;IF(AND(C23=$Q$14,D23=$U$9),A23,"")&amp;" "&amp;IF(AND(C24=$Q$14,D24=$U$9),A24,"")&amp;" "&amp;IF(AND(C25=$Q$14,D25=$U$9),A25,"")&amp;" "&amp;IF(AND(C26=$Q$14,D26=$U$9),A26,"")&amp;" "&amp;IF(AND(C27=$Q$14,D27=$U$9),A27,"")&amp;" "&amp;IF(AND(C28=$Q$14,D28=$U$9),A28,"")&amp;" "&amp;IF(AND(C29=$Q$14,D29=$U$9),A29,"")&amp;" "&amp;IF(AND(C30=$Q$14,D30=$U$9),A30,"")&amp;" "&amp;IF(AND(C31=$Q$14,D31=$U$9),A31,"")&amp;" "&amp;IF(AND(C32=$Q$14,D32=$U$9),A32,"")&amp;" "&amp;IF(AND(C33=$Q$14,D33=$U$9),A33,"")&amp;" "&amp;IF(AND(C34=$Q$14,D34=$U$9),A34,"")&amp;" "&amp;IF(AND(C35=$Q$14,D35=$U$9),A35,"")&amp;" "&amp;IF(AND(C36=$Q$14,D36=$U$9),A36,"")&amp;" "&amp;IF(AND(C37=$Q$14,D37=$U$9),A37,"")&amp;" "&amp;IF(AND(C38=$Q$14,D38=$U$9),A38,"")&amp;" "&amp;IF(AND(C39=$Q$14,D39=$U$9),A39,"")&amp;" "&amp;IF(AND(C40=$Q$14,D40=$U$9),A40,"")</f>
        <v xml:space="preserve">                             </v>
      </c>
      <c r="M14" s="341"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"&amp;IF(AND(C23=$Q$14,D23=$V$9),A23,"")&amp;" "&amp;IF(AND(C24=$Q$14,D24=$V$9),A24,"")&amp;" "&amp;IF(AND(C25=$Q$14,D25=$V$9),A25,"")&amp;" "&amp;IF(AND(C26=$Q$14,D26=$V$9),A26,"")&amp;" "&amp;IF(AND(C27=$Q$14,D27=$V$9),A27,"")&amp;" "&amp;IF(AND(C28=$Q$14,D28=$V$9),A28,"")&amp;" "&amp;IF(AND(C29=$Q$14,D29=$V$9),A29,"")&amp;" "&amp;IF(AND(C30=$Q$14,D30=$V$9),A30,"")&amp;" "&amp;IF(AND(C31=$Q$14,D31=$V$9),A31,"")&amp;" "&amp;IF(AND(C32=$Q$14,D32=$V$9),A32,"")&amp;" "&amp;IF(AND(C33=$Q$14,D33=$V$9),A33,"")&amp;" "&amp;IF(AND(C34=$Q$14,D34=$V$9),A34,"")&amp;" "&amp;IF(AND(C35=$Q$14,D35=$V$9),A35,"")&amp;" "&amp;IF(AND(C36=$Q$14,D36=$V$9),A36,"")&amp;" "&amp;IF(AND(C37=$Q$14,D37=$V$9),A37,"")&amp;" "&amp;IF(AND(C38=$Q$14,D38=$V$9),A38,"")&amp;" "&amp;IF(AND(C39=$Q$14,D39=$V$9),A39,"")&amp;" "&amp;IF(AND(C40=$Q$14,D40=$V$9),A40,"")</f>
        <v xml:space="preserve">                             </v>
      </c>
      <c r="O14" s="387"/>
      <c r="P14" s="343">
        <v>0.2</v>
      </c>
      <c r="Q14" s="344" t="s">
        <v>321</v>
      </c>
      <c r="R14" s="338" t="s">
        <v>356</v>
      </c>
      <c r="S14" s="338" t="s">
        <v>356</v>
      </c>
      <c r="T14" s="339" t="s">
        <v>332</v>
      </c>
      <c r="U14" s="340" t="s">
        <v>354</v>
      </c>
      <c r="V14" s="341" t="s">
        <v>355</v>
      </c>
      <c r="Y14" s="317"/>
      <c r="Z14" s="317"/>
      <c r="AA14" s="334"/>
      <c r="AB14" s="332"/>
      <c r="AC14" s="333"/>
      <c r="AD14" s="334"/>
      <c r="AE14" s="334"/>
      <c r="AF14" s="334"/>
      <c r="AG14" s="334"/>
      <c r="AH14" s="334"/>
      <c r="AI14" s="334"/>
      <c r="AJ14" s="334"/>
    </row>
    <row r="15" spans="1:36" ht="46.5" customHeight="1" x14ac:dyDescent="0.25">
      <c r="A15" s="118" t="str">
        <f>'2 CONTEXTO E IDENTIFICACIÓN'!A14</f>
        <v>R6</v>
      </c>
      <c r="B15" s="172" t="str">
        <f>+'2 CONTEXTO E IDENTIFICACIÓN'!J14</f>
        <v>Posibilidad de afectación reputacional por la veracidad de la información a difundir. a causa de que las direcciones / dependencias entregan información parcial o sin confirmar y fuera de tiempos.</v>
      </c>
      <c r="C15" s="324" t="str">
        <f>+'3 PROBABIL E IMPACTO INHERENTE'!F14</f>
        <v>Media</v>
      </c>
      <c r="D15" s="324" t="str">
        <f>+'3 PROBABIL E IMPACTO INHERENTE'!N14</f>
        <v>Moderado</v>
      </c>
      <c r="E15" s="172" t="str">
        <f t="shared" si="0"/>
        <v>Moderado</v>
      </c>
      <c r="Y15" s="317"/>
      <c r="Z15" s="317"/>
      <c r="AA15" s="334"/>
      <c r="AB15" s="332"/>
      <c r="AC15" s="333"/>
      <c r="AD15" s="334"/>
      <c r="AE15" s="334"/>
      <c r="AF15" s="334"/>
      <c r="AG15" s="334"/>
      <c r="AH15" s="334"/>
      <c r="AI15" s="334"/>
      <c r="AJ15" s="334"/>
    </row>
    <row r="16" spans="1:36" ht="55.5" customHeight="1" x14ac:dyDescent="0.25">
      <c r="A16" s="118" t="str">
        <f>'2 CONTEXTO E IDENTIFICACIÓN'!A15</f>
        <v>R7</v>
      </c>
      <c r="B16" s="172" t="str">
        <f>+'2 CONTEXTO E IDENTIFICACIÓN'!J15</f>
        <v>Posibilidad de afectación reputacional por gestión del conflicto a causa de  la matriz de levantamiento de activos.</v>
      </c>
      <c r="C16" s="324" t="str">
        <f>+'3 PROBABIL E IMPACTO INHERENTE'!F15</f>
        <v>Baja</v>
      </c>
      <c r="D16" s="324" t="str">
        <f>+'3 PROBABIL E IMPACTO INHERENTE'!N15</f>
        <v>Menor</v>
      </c>
      <c r="E16" s="172" t="str">
        <f t="shared" si="0"/>
        <v>Moderado</v>
      </c>
      <c r="R16" s="90" t="s">
        <v>357</v>
      </c>
      <c r="T16" s="317"/>
      <c r="U16" s="317"/>
      <c r="V16" s="317"/>
      <c r="X16" s="317"/>
      <c r="Y16" s="317"/>
      <c r="Z16" s="317"/>
      <c r="AA16" s="334"/>
      <c r="AB16" s="332"/>
      <c r="AC16" s="334"/>
      <c r="AD16" s="333"/>
      <c r="AE16" s="333"/>
      <c r="AF16" s="333"/>
      <c r="AG16" s="333"/>
      <c r="AH16" s="333"/>
      <c r="AI16" s="334"/>
      <c r="AJ16" s="334"/>
    </row>
    <row r="17" spans="1:36" ht="46.5" customHeight="1" x14ac:dyDescent="0.25">
      <c r="A17" s="118" t="str">
        <f>'2 CONTEXTO E IDENTIFICACIÓN'!A16</f>
        <v>R8</v>
      </c>
      <c r="B17" s="172" t="str">
        <f>+'2 CONTEXTO E IDENTIFICACIÓN'!J16</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C17" s="324" t="str">
        <f>+'3 PROBABIL E IMPACTO INHERENTE'!F16</f>
        <v>Media</v>
      </c>
      <c r="D17" s="324" t="str">
        <f>+'3 PROBABIL E IMPACTO INHERENTE'!N16</f>
        <v>Moderado</v>
      </c>
      <c r="E17" s="172" t="str">
        <f t="shared" si="0"/>
        <v>Moderado</v>
      </c>
      <c r="R17" s="345" t="s">
        <v>355</v>
      </c>
      <c r="T17" s="317"/>
      <c r="U17" s="317"/>
      <c r="V17" s="317"/>
      <c r="X17" s="317"/>
      <c r="Y17" s="317"/>
      <c r="Z17" s="317"/>
      <c r="AA17" s="334"/>
      <c r="AB17" s="334"/>
      <c r="AC17" s="334"/>
      <c r="AD17" s="334"/>
      <c r="AE17" s="334"/>
      <c r="AF17" s="334"/>
      <c r="AG17" s="334"/>
      <c r="AH17" s="334"/>
      <c r="AI17" s="334"/>
      <c r="AJ17" s="334"/>
    </row>
    <row r="18" spans="1:36" ht="46.5" customHeight="1" x14ac:dyDescent="0.25">
      <c r="A18" s="118" t="str">
        <f>'2 CONTEXTO E IDENTIFICACIÓN'!A17</f>
        <v>R9</v>
      </c>
      <c r="B18" s="172" t="str">
        <f>+'2 CONTEXTO E IDENTIFICACIÓN'!J17</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C18" s="324" t="str">
        <f>+'3 PROBABIL E IMPACTO INHERENTE'!F17</f>
        <v>Baja</v>
      </c>
      <c r="D18" s="324" t="str">
        <f>+'3 PROBABIL E IMPACTO INHERENTE'!N17</f>
        <v>Menor</v>
      </c>
      <c r="E18" s="172" t="str">
        <f t="shared" si="0"/>
        <v>Moderado</v>
      </c>
      <c r="R18" s="326" t="s">
        <v>354</v>
      </c>
      <c r="S18" s="317"/>
      <c r="T18" s="317"/>
      <c r="U18" s="317"/>
      <c r="V18" s="317"/>
      <c r="X18" s="317"/>
      <c r="Y18" s="317"/>
      <c r="Z18" s="317"/>
      <c r="AA18" s="334"/>
      <c r="AB18" s="334"/>
      <c r="AC18" s="334"/>
      <c r="AD18" s="334"/>
      <c r="AE18" s="334"/>
      <c r="AF18" s="334"/>
      <c r="AG18" s="334"/>
      <c r="AH18" s="334"/>
      <c r="AI18" s="334"/>
      <c r="AJ18" s="334"/>
    </row>
    <row r="19" spans="1:36" ht="46.5" customHeight="1" x14ac:dyDescent="0.25">
      <c r="A19" s="118" t="str">
        <f>'2 CONTEXTO E IDENTIFICACIÓN'!A18</f>
        <v>R10</v>
      </c>
      <c r="B19" s="172" t="str">
        <f>+'2 CONTEXTO E IDENTIFICACIÓN'!J18</f>
        <v>Posibilidad de afectación económica por no reporte o no rendir informes sobre el uso o destinación de los recursos entregados a otros países y otras entidades a causa de la no entrega de los informes.</v>
      </c>
      <c r="C19" s="324" t="str">
        <f>+'3 PROBABIL E IMPACTO INHERENTE'!F18</f>
        <v>Baja</v>
      </c>
      <c r="D19" s="324" t="str">
        <f>+'3 PROBABIL E IMPACTO INHERENTE'!N18</f>
        <v>Menor</v>
      </c>
      <c r="E19" s="172" t="str">
        <f t="shared" si="0"/>
        <v>Moderado</v>
      </c>
      <c r="Q19" s="395"/>
      <c r="R19" s="330" t="s">
        <v>332</v>
      </c>
      <c r="S19" s="395"/>
      <c r="T19" s="395"/>
      <c r="U19" s="395"/>
      <c r="V19" s="395"/>
      <c r="X19" s="395"/>
      <c r="Y19" s="395"/>
      <c r="Z19" s="395"/>
      <c r="AA19" s="334"/>
      <c r="AB19" s="334"/>
      <c r="AC19" s="396"/>
      <c r="AD19" s="396"/>
      <c r="AE19" s="396"/>
      <c r="AF19" s="396"/>
      <c r="AG19" s="396"/>
      <c r="AH19" s="396"/>
      <c r="AI19" s="334"/>
      <c r="AJ19" s="334"/>
    </row>
    <row r="20" spans="1:36" ht="46.5" customHeight="1" x14ac:dyDescent="0.25">
      <c r="A20" s="118" t="str">
        <f>'2 CONTEXTO E IDENTIFICACIÓN'!A19</f>
        <v>R11</v>
      </c>
      <c r="B20" s="172" t="str">
        <f>+'2 CONTEXTO E IDENTIFICACIÓN'!J19</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C20" s="324" t="str">
        <f>+'3 PROBABIL E IMPACTO INHERENTE'!F19</f>
        <v>Baja</v>
      </c>
      <c r="D20" s="324" t="str">
        <f>+'3 PROBABIL E IMPACTO INHERENTE'!N19</f>
        <v>Menor</v>
      </c>
      <c r="E20" s="172" t="str">
        <f t="shared" si="0"/>
        <v>Moderado</v>
      </c>
      <c r="Q20" s="395"/>
      <c r="R20" s="335" t="s">
        <v>356</v>
      </c>
      <c r="Y20" s="395"/>
      <c r="Z20" s="395"/>
      <c r="AA20" s="334"/>
      <c r="AB20" s="334"/>
      <c r="AC20" s="334"/>
      <c r="AD20" s="334"/>
      <c r="AE20" s="334"/>
      <c r="AF20" s="334"/>
      <c r="AG20" s="334"/>
      <c r="AH20" s="334"/>
      <c r="AI20" s="334"/>
      <c r="AJ20" s="334"/>
    </row>
    <row r="21" spans="1:36" ht="46.5" customHeight="1" x14ac:dyDescent="0.25">
      <c r="A21" s="118" t="str">
        <f>'2 CONTEXTO E IDENTIFICACIÓN'!A20</f>
        <v>R12</v>
      </c>
      <c r="B21" s="172" t="str">
        <f>+'2 CONTEXTO E IDENTIFICACIÓN'!J20</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C21" s="324" t="str">
        <f>+'3 PROBABIL E IMPACTO INHERENTE'!F20</f>
        <v>Media</v>
      </c>
      <c r="D21" s="324" t="str">
        <f>+'3 PROBABIL E IMPACTO INHERENTE'!N20</f>
        <v>Moderado</v>
      </c>
      <c r="E21" s="172" t="str">
        <f t="shared" si="0"/>
        <v>Moderado</v>
      </c>
      <c r="O21" s="397"/>
      <c r="P21" s="397"/>
      <c r="Q21" s="395"/>
      <c r="Y21" s="395"/>
      <c r="Z21" s="395"/>
      <c r="AA21" s="334"/>
      <c r="AB21" s="334"/>
      <c r="AC21" s="334"/>
      <c r="AD21" s="334"/>
      <c r="AE21" s="334"/>
      <c r="AF21" s="334"/>
      <c r="AG21" s="334"/>
      <c r="AH21" s="334"/>
      <c r="AI21" s="334"/>
      <c r="AJ21" s="334"/>
    </row>
    <row r="22" spans="1:36" ht="46.5" customHeight="1" x14ac:dyDescent="0.25">
      <c r="A22" s="118" t="str">
        <f>'2 CONTEXTO E IDENTIFICACIÓN'!A21</f>
        <v>R13</v>
      </c>
      <c r="B22" s="172" t="str">
        <f>+'2 CONTEXTO E IDENTIFICACIÓN'!J21</f>
        <v>Posibilidad de afectación económica y reputacional por pérdidas economicas, de imagen y/o reputacionales. a causa de ingreso de personal sin autorización y falta de control en en los prestamos de documentación y/o activos.</v>
      </c>
      <c r="C22" s="324" t="str">
        <f>+'3 PROBABIL E IMPACTO INHERENTE'!F21</f>
        <v>Media</v>
      </c>
      <c r="D22" s="324" t="str">
        <f>+'3 PROBABIL E IMPACTO INHERENTE'!N21</f>
        <v>Moderado</v>
      </c>
      <c r="E22" s="172" t="str">
        <f t="shared" ref="E22" si="1">+IF(C22=$Q$10,IF(D22=$R$9,$R$10,IF(D22=$S$9,$S$10,IF(D22=$T$9,$T$10,IF(D22=$U$9,$U$10,IF(D22=$V$9,$V$10))))),IF(C22=$Q$11,IF(D22=$R$9,$R$11,IF(D22=$S$9,$S$11,IF(D22=$T$9,$T$11,IF(D22=$U$9,$U$11,IF(D22=$V$9,$V$11))))),IF(C22=$Q$12,IF(D22=$R$9,$R$12,IF(D22=$S$9,$S$12,IF(D22=$T$9,$T$12,IF(D22=$U$9,$U$12,IF(D22=$V$9,$V$12))))),IF(C22=$Q$13,IF(D22=$R$9,$R$13,IF(D22=$S$9,$S$13,IF(D22=$T$9,$T$13,IF(D22=$U$9,$U$13,IF(D22=$V$9,$V$13))))),IF(C22=$Q$14,IF(D22=$R$9,$R$14,IF(D22=$S$9,$S$14,IF(D22=$T$9,$T$14,IF(D22=$U$9,$U$14,IF(D22=$V$9,$V$14))))),"")))))</f>
        <v>Moderado</v>
      </c>
      <c r="O22" s="397"/>
      <c r="P22" s="397"/>
      <c r="Q22" s="395"/>
      <c r="Y22" s="395"/>
      <c r="Z22" s="395"/>
      <c r="AA22" s="334"/>
      <c r="AB22" s="334"/>
      <c r="AC22" s="334"/>
      <c r="AD22" s="334"/>
      <c r="AE22" s="334"/>
      <c r="AF22" s="334"/>
      <c r="AG22" s="334"/>
      <c r="AH22" s="334"/>
      <c r="AI22" s="334"/>
      <c r="AJ22" s="334"/>
    </row>
    <row r="23" spans="1:36" ht="46.5" customHeight="1" x14ac:dyDescent="0.25">
      <c r="A23" s="118" t="str">
        <f>'2 CONTEXTO E IDENTIFICACIÓN'!A22</f>
        <v>R14</v>
      </c>
      <c r="B23" s="172" t="str">
        <f>+'2 CONTEXTO E IDENTIFICACIÓN'!J22</f>
        <v>Posibilidad de afectación económica y reputacional por susceptible a retrasos en los procesos internos por falta de la información requerida. a causa de  a ingreso de personal no autorizado y falta de control en el préstamo de expedientes.</v>
      </c>
      <c r="C23" s="324" t="str">
        <f>+'3 PROBABIL E IMPACTO INHERENTE'!F22</f>
        <v>Media</v>
      </c>
      <c r="D23" s="324" t="str">
        <f>+'3 PROBABIL E IMPACTO INHERENTE'!N22</f>
        <v>Moderado</v>
      </c>
      <c r="E23" s="172" t="str">
        <f t="shared" si="0"/>
        <v>Moderado</v>
      </c>
      <c r="O23" s="397"/>
      <c r="P23" s="397"/>
      <c r="Q23" s="397"/>
      <c r="Y23" s="395"/>
      <c r="Z23" s="395"/>
      <c r="AA23" s="334"/>
      <c r="AB23" s="334"/>
      <c r="AC23" s="334"/>
      <c r="AD23" s="334"/>
      <c r="AE23" s="334"/>
      <c r="AF23" s="334"/>
      <c r="AG23" s="334"/>
      <c r="AH23" s="334"/>
      <c r="AI23" s="334"/>
      <c r="AJ23" s="334"/>
    </row>
    <row r="24" spans="1:36" ht="46.5" customHeight="1" x14ac:dyDescent="0.25">
      <c r="A24" s="118" t="str">
        <f>'2 CONTEXTO E IDENTIFICACIÓN'!A23</f>
        <v>R15</v>
      </c>
      <c r="B24" s="172" t="str">
        <f>+'2 CONTEXTO E IDENTIFICACIÓN'!J23</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C24" s="324" t="str">
        <f>+'3 PROBABIL E IMPACTO INHERENTE'!F23</f>
        <v>Alta</v>
      </c>
      <c r="D24" s="324" t="str">
        <f>+'3 PROBABIL E IMPACTO INHERENTE'!N23</f>
        <v>Moderado</v>
      </c>
      <c r="E24" s="172" t="str">
        <f t="shared" si="0"/>
        <v>Alto</v>
      </c>
      <c r="O24" s="397"/>
      <c r="P24" s="397"/>
      <c r="AA24" s="334"/>
      <c r="AB24" s="398"/>
      <c r="AC24" s="398"/>
      <c r="AD24" s="398"/>
      <c r="AE24" s="398"/>
      <c r="AF24" s="398"/>
      <c r="AG24" s="398"/>
      <c r="AH24" s="334"/>
      <c r="AI24" s="334"/>
      <c r="AJ24" s="334"/>
    </row>
    <row r="25" spans="1:36" ht="46.5" customHeight="1" x14ac:dyDescent="0.25">
      <c r="A25" s="118" t="str">
        <f>'2 CONTEXTO E IDENTIFICACIÓN'!A24</f>
        <v>R16</v>
      </c>
      <c r="B25" s="172" t="str">
        <f>+'2 CONTEXTO E IDENTIFICACIÓN'!J24</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C25" s="324" t="str">
        <f>+'3 PROBABIL E IMPACTO INHERENTE'!F24</f>
        <v>Baja</v>
      </c>
      <c r="D25" s="324" t="str">
        <f>+'3 PROBABIL E IMPACTO INHERENTE'!N24</f>
        <v>Menor</v>
      </c>
      <c r="E25" s="172" t="str">
        <f t="shared" si="0"/>
        <v>Moderado</v>
      </c>
      <c r="O25" s="397"/>
      <c r="P25" s="397"/>
      <c r="AA25" s="334"/>
      <c r="AB25" s="334"/>
      <c r="AC25" s="334"/>
      <c r="AD25" s="334"/>
      <c r="AE25" s="334"/>
      <c r="AF25" s="334"/>
      <c r="AG25" s="334"/>
      <c r="AH25" s="334"/>
      <c r="AI25" s="334"/>
      <c r="AJ25" s="334"/>
    </row>
    <row r="26" spans="1:36" ht="46.5" customHeight="1" x14ac:dyDescent="0.25">
      <c r="A26" s="118" t="str">
        <f>'2 CONTEXTO E IDENTIFICACIÓN'!A25</f>
        <v>R17</v>
      </c>
      <c r="B26" s="172" t="str">
        <f>+'2 CONTEXTO E IDENTIFICACIÓN'!J25</f>
        <v>Posibilidad de afectación económica y reputacional por  el registro de información sin soportes completos y precisos. a causa de  suministro de información al proceso contable de forma incompleta o sin verificación.</v>
      </c>
      <c r="C26" s="324" t="str">
        <f>+'3 PROBABIL E IMPACTO INHERENTE'!F25</f>
        <v>Baja</v>
      </c>
      <c r="D26" s="324" t="str">
        <f>+'3 PROBABIL E IMPACTO INHERENTE'!N25</f>
        <v>Menor</v>
      </c>
      <c r="E26" s="172" t="str">
        <f t="shared" si="0"/>
        <v>Moderado</v>
      </c>
      <c r="AA26" s="334"/>
      <c r="AB26" s="334"/>
      <c r="AC26" s="334"/>
      <c r="AD26" s="334"/>
      <c r="AE26" s="334"/>
      <c r="AF26" s="334"/>
      <c r="AG26" s="334"/>
      <c r="AH26" s="334"/>
      <c r="AI26" s="334"/>
      <c r="AJ26" s="334"/>
    </row>
    <row r="27" spans="1:36" ht="46.5" customHeight="1" x14ac:dyDescent="0.25">
      <c r="A27" s="118" t="str">
        <f>'2 CONTEXTO E IDENTIFICACIÓN'!A26</f>
        <v>R18</v>
      </c>
      <c r="B27" s="172" t="str">
        <f>+'2 CONTEXTO E IDENTIFICACIÓN'!J26</f>
        <v>Posibilidad de afectación económica y reputacional por sanción y/o multa. a causa de  al incumplimiento legal de los requisitos del Sistema de gestión de seguridad y salud en el trabajo (SG-SST).</v>
      </c>
      <c r="C27" s="324" t="str">
        <f>+'3 PROBABIL E IMPACTO INHERENTE'!F26</f>
        <v>Baja</v>
      </c>
      <c r="D27" s="324" t="str">
        <f>+'3 PROBABIL E IMPACTO INHERENTE'!N26</f>
        <v>Menor</v>
      </c>
      <c r="E27" s="172" t="str">
        <f t="shared" si="0"/>
        <v>Moderado</v>
      </c>
    </row>
    <row r="28" spans="1:36" ht="46.5" customHeight="1" x14ac:dyDescent="0.25">
      <c r="A28" s="118" t="str">
        <f>'2 CONTEXTO E IDENTIFICACIÓN'!A27</f>
        <v>R19</v>
      </c>
      <c r="B28" s="172" t="str">
        <f>+'2 CONTEXTO E IDENTIFICACIÓN'!J27</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28" s="324" t="str">
        <f>+'3 PROBABIL E IMPACTO INHERENTE'!F27</f>
        <v>Media</v>
      </c>
      <c r="D28" s="324" t="str">
        <f>+'3 PROBABIL E IMPACTO INHERENTE'!N27</f>
        <v>Moderado</v>
      </c>
      <c r="E28" s="172" t="str">
        <f t="shared" si="0"/>
        <v>Moderado</v>
      </c>
    </row>
    <row r="29" spans="1:36" ht="46.5" customHeight="1" x14ac:dyDescent="0.25">
      <c r="A29" s="118" t="str">
        <f>'2 CONTEXTO E IDENTIFICACIÓN'!A28</f>
        <v>R20</v>
      </c>
      <c r="B29" s="172" t="str">
        <f>+'2 CONTEXTO E IDENTIFICACIÓN'!J28</f>
        <v>Posibilidad de afectación reputacional por la reclamación de la DIAN y queja y/o sanción de los organismos de vigilancia y control. a causa de   incumplimiento en los requisitos para tramitar donaciones por parte de la Agencia.</v>
      </c>
      <c r="C29" s="324" t="str">
        <f>+'3 PROBABIL E IMPACTO INHERENTE'!F28</f>
        <v>Baja</v>
      </c>
      <c r="D29" s="324" t="str">
        <f>+'3 PROBABIL E IMPACTO INHERENTE'!N28</f>
        <v>Menor</v>
      </c>
      <c r="E29" s="172" t="str">
        <f t="shared" si="0"/>
        <v>Moderado</v>
      </c>
    </row>
    <row r="30" spans="1:36" ht="46.5" customHeight="1" x14ac:dyDescent="0.25">
      <c r="A30" s="118" t="str">
        <f>'2 CONTEXTO E IDENTIFICACIÓN'!A29</f>
        <v>R21</v>
      </c>
      <c r="B30" s="172" t="str">
        <f>+'2 CONTEXTO E IDENTIFICACIÓN'!J29</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C30" s="324" t="str">
        <f>+'3 PROBABIL E IMPACTO INHERENTE'!F29</f>
        <v>Media</v>
      </c>
      <c r="D30" s="324" t="str">
        <f>+'3 PROBABIL E IMPACTO INHERENTE'!N29</f>
        <v>Menor</v>
      </c>
      <c r="E30" s="172" t="str">
        <f t="shared" si="0"/>
        <v>Moderado</v>
      </c>
    </row>
    <row r="31" spans="1:36" ht="46.5" customHeight="1" x14ac:dyDescent="0.25">
      <c r="A31" s="118" t="str">
        <f>'2 CONTEXTO E IDENTIFICACIÓN'!A30</f>
        <v>R22</v>
      </c>
      <c r="B31" s="172" t="str">
        <f>+'2 CONTEXTO E IDENTIFICACIÓN'!J30</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C31" s="324" t="str">
        <f>+'3 PROBABIL E IMPACTO INHERENTE'!F30</f>
        <v>Media</v>
      </c>
      <c r="D31" s="324" t="str">
        <f>+'3 PROBABIL E IMPACTO INHERENTE'!N30</f>
        <v>Moderado</v>
      </c>
      <c r="E31" s="172" t="str">
        <f t="shared" ref="E31:E40" si="2">+IF(C31=$Q$10,IF(D31=$R$9,$R$10,IF(D31=$S$9,$S$10,IF(D31=$T$9,$T$10,IF(D31=$U$9,$U$10,IF(D31=$V$9,$V$10))))),IF(C31=$Q$11,IF(D31=$R$9,$R$11,IF(D31=$S$9,$S$11,IF(D31=$T$9,$T$11,IF(D31=$U$9,$U$11,IF(D31=$V$9,$V$11))))),IF(C31=$Q$12,IF(D31=$R$9,$R$12,IF(D31=$S$9,$S$12,IF(D31=$T$9,$T$12,IF(D31=$U$9,$U$12,IF(D31=$V$9,$V$12))))),IF(C31=$Q$13,IF(D31=$R$9,$R$13,IF(D31=$S$9,$S$13,IF(D31=$T$9,$T$13,IF(D31=$U$9,$U$13,IF(D31=$V$9,$V$13))))),IF(C31=$Q$14,IF(D31=$R$9,$R$14,IF(D31=$S$9,$S$14,IF(D31=$T$9,$T$14,IF(D31=$U$9,$U$14,IF(D31=$V$9,$V$14))))),"")))))</f>
        <v>Moderado</v>
      </c>
    </row>
    <row r="32" spans="1:36" ht="46.5" customHeight="1" x14ac:dyDescent="0.25">
      <c r="A32" s="118" t="str">
        <f>'2 CONTEXTO E IDENTIFICACIÓN'!A31</f>
        <v>R23</v>
      </c>
      <c r="B32" s="172" t="str">
        <f>+'2 CONTEXTO E IDENTIFICACIÓN'!J31</f>
        <v>Posibilidad de afectación reputacional por obtener beneficios tributarios  a causa de que no cumplen con los requisitos del Decreto 1651 de 2021</v>
      </c>
      <c r="C32" s="324" t="str">
        <f>+'3 PROBABIL E IMPACTO INHERENTE'!F31</f>
        <v>Baja</v>
      </c>
      <c r="D32" s="324" t="str">
        <f>+'3 PROBABIL E IMPACTO INHERENTE'!N31</f>
        <v>Menor</v>
      </c>
      <c r="E32" s="172" t="str">
        <f t="shared" si="2"/>
        <v>Moderado</v>
      </c>
    </row>
    <row r="33" spans="1:5" ht="46.5" customHeight="1" x14ac:dyDescent="0.25">
      <c r="A33" s="118" t="str">
        <f>'2 CONTEXTO E IDENTIFICACIÓN'!A32</f>
        <v>R24</v>
      </c>
      <c r="B33" s="172" t="str">
        <f>+'2 CONTEXTO E IDENTIFICACIÓN'!J32</f>
        <v>Posibilidad de afectación económica y reputacional porsanción, multa o penalidad a causa de   la indebida supervisión de los contratos o convenios suscritos</v>
      </c>
      <c r="C33" s="324" t="str">
        <f>+'3 PROBABIL E IMPACTO INHERENTE'!F32</f>
        <v>Media</v>
      </c>
      <c r="D33" s="324" t="str">
        <f>+'3 PROBABIL E IMPACTO INHERENTE'!N32</f>
        <v>Moderado</v>
      </c>
      <c r="E33" s="172" t="str">
        <f t="shared" si="2"/>
        <v>Moderado</v>
      </c>
    </row>
    <row r="34" spans="1:5" ht="46.5" customHeight="1" x14ac:dyDescent="0.25">
      <c r="A34" s="118" t="str">
        <f>'2 CONTEXTO E IDENTIFICACIÓN'!A33</f>
        <v>R25</v>
      </c>
      <c r="B34" s="172" t="str">
        <f>+'2 CONTEXTO E IDENTIFICACIÓN'!J33</f>
        <v>Posibilidad de afectación económica y reputacional por una sanción de las autoridades competentes a causa de  favorecimiento indebido a un tercero con los recursos asignados de contrapartida</v>
      </c>
      <c r="C34" s="324" t="str">
        <f>+'3 PROBABIL E IMPACTO INHERENTE'!F33</f>
        <v>Baja</v>
      </c>
      <c r="D34" s="324" t="str">
        <f>+'3 PROBABIL E IMPACTO INHERENTE'!N33</f>
        <v>Menor</v>
      </c>
      <c r="E34" s="172" t="str">
        <f t="shared" si="2"/>
        <v>Moderado</v>
      </c>
    </row>
    <row r="35" spans="1:5" ht="46.5" customHeight="1" x14ac:dyDescent="0.25">
      <c r="A35" s="118" t="str">
        <f>'2 CONTEXTO E IDENTIFICACIÓN'!A34</f>
        <v>R26</v>
      </c>
      <c r="B35" s="172" t="str">
        <f>+'2 CONTEXTO E IDENTIFICACIÓN'!J34</f>
        <v>Posibilidad de afectación económica y reputacional por una sanción de las autoridades competentes a causa de  la destinación indebida de los recursos asignados a una iniciativa de contrapartidas, durante su fase de ejecución</v>
      </c>
      <c r="C35" s="324" t="str">
        <f>+'3 PROBABIL E IMPACTO INHERENTE'!F34</f>
        <v>Baja</v>
      </c>
      <c r="D35" s="324" t="str">
        <f>+'3 PROBABIL E IMPACTO INHERENTE'!N34</f>
        <v>Menor</v>
      </c>
      <c r="E35" s="172" t="str">
        <f t="shared" si="2"/>
        <v>Moderado</v>
      </c>
    </row>
    <row r="36" spans="1:5" ht="46.5" customHeight="1" x14ac:dyDescent="0.25">
      <c r="A36" s="118" t="str">
        <f>'2 CONTEXTO E IDENTIFICACIÓN'!A35</f>
        <v>R27</v>
      </c>
      <c r="B36" s="172" t="str">
        <f>+'2 CONTEXTO E IDENTIFICACIÓN'!J35</f>
        <v>Posibilidad de afectación económica y reputacional porPérdida, desvió y/o destinación indebida de los recursos asignados a la caja menor a causa de  incumplimiento de los lineamientos establecidos por la Agencia para la administración de la caja menor</v>
      </c>
      <c r="C36" s="324" t="str">
        <f>+'3 PROBABIL E IMPACTO INHERENTE'!F35</f>
        <v>Media</v>
      </c>
      <c r="D36" s="324" t="str">
        <f>+'3 PROBABIL E IMPACTO INHERENTE'!N35</f>
        <v>Moderado</v>
      </c>
      <c r="E36" s="172" t="str">
        <f t="shared" si="2"/>
        <v>Moderado</v>
      </c>
    </row>
    <row r="37" spans="1:5" ht="46.5" customHeight="1" x14ac:dyDescent="0.25">
      <c r="A37" s="118" t="str">
        <f>'2 CONTEXTO E IDENTIFICACIÓN'!A36</f>
        <v>R28</v>
      </c>
      <c r="B37" s="172" t="str">
        <f>+'2 CONTEXTO E IDENTIFICACIÓN'!J36</f>
        <v>Posibilidad de afectación económica y reputacional por revocatoria de nombramiento y sanciones disciplinarias  a causa de incumplimiento en la verificación y  certificación de requisitos exigidos para el desempeño del empleo público</v>
      </c>
      <c r="C37" s="324" t="str">
        <f>+'3 PROBABIL E IMPACTO INHERENTE'!F36</f>
        <v>Media</v>
      </c>
      <c r="D37" s="324" t="str">
        <f>+'3 PROBABIL E IMPACTO INHERENTE'!N36</f>
        <v>Moderado</v>
      </c>
      <c r="E37" s="172" t="str">
        <f t="shared" si="2"/>
        <v>Moderado</v>
      </c>
    </row>
    <row r="38" spans="1:5" ht="46.5" customHeight="1" x14ac:dyDescent="0.25">
      <c r="A38" s="118" t="str">
        <f>'2 CONTEXTO E IDENTIFICACIÓN'!A37</f>
        <v>R29</v>
      </c>
      <c r="B38" s="172" t="str">
        <f>+'2 CONTEXTO E IDENTIFICACIÓN'!J37</f>
        <v>Posibilidad de afectación económica y reputacional por la reclamación  del donante a causa de ausencia en el seguimiento frente a la entrega final de la donación realizada por el donante</v>
      </c>
      <c r="C38" s="324" t="str">
        <f>+'3 PROBABIL E IMPACTO INHERENTE'!F37</f>
        <v>Baja</v>
      </c>
      <c r="D38" s="324" t="str">
        <f>+'3 PROBABIL E IMPACTO INHERENTE'!N37</f>
        <v>Menor</v>
      </c>
      <c r="E38" s="172" t="str">
        <f t="shared" si="2"/>
        <v>Moderado</v>
      </c>
    </row>
    <row r="39" spans="1:5" ht="46.5" customHeight="1" x14ac:dyDescent="0.25">
      <c r="A39" s="118" t="str">
        <f>'2 CONTEXTO E IDENTIFICACIÓN'!A38</f>
        <v>R30</v>
      </c>
      <c r="B39" s="172" t="str">
        <f>+'2 CONTEXTO E IDENTIFICACIÓN'!J38</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C39" s="324" t="str">
        <f>+'3 PROBABIL E IMPACTO INHERENTE'!F38</f>
        <v>Baja</v>
      </c>
      <c r="D39" s="324" t="str">
        <f>+'3 PROBABIL E IMPACTO INHERENTE'!N38</f>
        <v>Menor</v>
      </c>
      <c r="E39" s="172" t="str">
        <f t="shared" si="2"/>
        <v>Moderado</v>
      </c>
    </row>
    <row r="40" spans="1:5" ht="46.5" customHeight="1" x14ac:dyDescent="0.25">
      <c r="A40" s="118" t="str">
        <f>'2 CONTEXTO E IDENTIFICACIÓN'!A39</f>
        <v>R31</v>
      </c>
      <c r="B40" s="172" t="str">
        <f>+'2 CONTEXTO E IDENTIFICACIÓN'!J39</f>
        <v>Posibilidad de afectación económica y reputacional por la insuficiencia de controles adecuados para el registro de cuentas por pagar y obligaciones a causa de  la falta de seguimiento y control por parte de los supervisores de contrato u orden de compra</v>
      </c>
      <c r="C40" s="324" t="str">
        <f>+'3 PROBABIL E IMPACTO INHERENTE'!F39</f>
        <v>Baja</v>
      </c>
      <c r="D40" s="324" t="str">
        <f>+'3 PROBABIL E IMPACTO INHERENTE'!N39</f>
        <v>Menor</v>
      </c>
      <c r="E40" s="172" t="str">
        <f t="shared" si="2"/>
        <v>Moderado</v>
      </c>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40">
    <cfRule type="cellIs" dxfId="233" priority="6" operator="equal">
      <formula>$Q$14</formula>
    </cfRule>
    <cfRule type="cellIs" dxfId="232" priority="7" operator="equal">
      <formula>$Q$13</formula>
    </cfRule>
    <cfRule type="cellIs" dxfId="231" priority="8" operator="equal">
      <formula>$Q$12</formula>
    </cfRule>
    <cfRule type="cellIs" dxfId="230" priority="9" operator="equal">
      <formula>$Q$11</formula>
    </cfRule>
    <cfRule type="cellIs" dxfId="229" priority="10" operator="equal">
      <formula>$Q$10</formula>
    </cfRule>
  </conditionalFormatting>
  <conditionalFormatting sqref="D10:D40">
    <cfRule type="cellIs" dxfId="228" priority="1" operator="equal">
      <formula>$R$9</formula>
    </cfRule>
    <cfRule type="cellIs" dxfId="227" priority="2" operator="equal">
      <formula>$S$9</formula>
    </cfRule>
    <cfRule type="cellIs" dxfId="226" priority="3" operator="equal">
      <formula>$T$9</formula>
    </cfRule>
    <cfRule type="cellIs" dxfId="225" priority="4" operator="equal">
      <formula>$U$9</formula>
    </cfRule>
    <cfRule type="cellIs" dxfId="224" priority="5" operator="equal">
      <formula>$V$9</formula>
    </cfRule>
  </conditionalFormatting>
  <conditionalFormatting sqref="E10:E40">
    <cfRule type="cellIs" dxfId="223" priority="102" operator="equal">
      <formula>$R$17</formula>
    </cfRule>
    <cfRule type="cellIs" dxfId="222" priority="103" operator="equal">
      <formula>$R$18</formula>
    </cfRule>
    <cfRule type="cellIs" dxfId="221" priority="104" operator="equal">
      <formula>$R$19</formula>
    </cfRule>
    <cfRule type="cellIs" dxfId="220" priority="105" operator="equal">
      <formula>$R$20</formula>
    </cfRule>
  </conditionalFormatting>
  <dataValidations count="3">
    <dataValidation type="list" allowBlank="1" showInputMessage="1" showErrorMessage="1" sqref="JB10:JF17 JH10:JH17">
      <formula1>#REF!</formula1>
    </dataValidation>
    <dataValidation allowBlank="1" showInputMessage="1" showErrorMessage="1" prompt="La probabilidad se encuentra determinada por una escala de 1 a 3, siendo 1 la menor probabilidad de ocurrencia del riesgo y 3 la mayor probabilidad de  ocurrencia." sqref="JA9"/>
    <dataValidation allowBlank="1" showInputMessage="1" showErrorMessage="1" prompt="Es la materialización del riesgo y las consecuencias de su aparición. Su escala es: 5 bajo impacto, 10 medio, 20 alto impacto._x000a_" sqref="JB9:JH9"/>
  </dataValidations>
  <printOptions horizontalCentered="1" verticalCentered="1"/>
  <pageMargins left="0.78740157480314965" right="0.78740157480314965" top="0.78740157480314965" bottom="0.78740157480314965" header="0.39370078740157483" footer="0.39370078740157483"/>
  <pageSetup paperSize="5" scale="50" orientation="landscape" r:id="rId1"/>
  <headerFooter alignWithMargins="0">
    <oddHeader>&amp;L&amp;"Arial,Negrita"&amp;12
MAPA DE RIESGOS &amp;"Arial,Normal"
Código: E-FO-017 | Versión: 13 | Fecha: Enero 29 de 2026&amp;C&amp;G</oddHeader>
    <oddFooter xml:space="preserve">&amp;L&amp;"Arial,Normal"&amp;12Teléfono: (+57) 601 601 2424 | Línea gratuita: 01 8000 41 37 95 | Código postal: 110221
Dirección: Carrera 10 No. 97A - 13, Torre A, Piso 6 | Bogotá D.C., Colombia 
www.apccolombia.gov.co
Página: &amp;P/&amp;N
</oddFooter>
  </headerFooter>
  <rowBreaks count="2" manualBreakCount="2">
    <brk id="20" max="21" man="1"/>
    <brk id="30" max="21" man="1"/>
  </rowBreaks>
  <colBreaks count="1" manualBreakCount="1">
    <brk id="22" max="1048575" man="1"/>
  </colBreaks>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Z193"/>
  <sheetViews>
    <sheetView showGridLines="0" topLeftCell="A5" zoomScale="55" zoomScaleNormal="55" zoomScaleSheetLayoutView="85" workbookViewId="0">
      <pane xSplit="1" ySplit="3" topLeftCell="B187" activePane="bottomRight" state="frozen"/>
      <selection pane="topRight" activeCell="B5" sqref="B5"/>
      <selection pane="bottomLeft" activeCell="A8" sqref="A8"/>
      <selection pane="bottomRight" activeCell="C188" sqref="C188:C196"/>
    </sheetView>
  </sheetViews>
  <sheetFormatPr baseColWidth="10" defaultColWidth="11.42578125" defaultRowHeight="15" x14ac:dyDescent="0.25"/>
  <cols>
    <col min="1" max="1" width="14.85546875" style="200" customWidth="1"/>
    <col min="2" max="2" width="29.42578125" style="200" bestFit="1" customWidth="1"/>
    <col min="3" max="3" width="15.42578125" style="200" customWidth="1"/>
    <col min="4" max="4" width="16.28515625" style="200" customWidth="1"/>
    <col min="5" max="5" width="10.140625" style="200" customWidth="1"/>
    <col min="6" max="6" width="17.42578125" style="200" customWidth="1"/>
    <col min="7" max="7" width="24.42578125" style="200" customWidth="1"/>
    <col min="8" max="8" width="64.85546875" style="200" customWidth="1"/>
    <col min="9" max="9" width="42.85546875" style="200" customWidth="1"/>
    <col min="10" max="10" width="15.42578125" style="200" customWidth="1"/>
    <col min="11" max="11" width="12.140625" style="205" customWidth="1"/>
    <col min="12" max="12" width="25.42578125" style="205" customWidth="1"/>
    <col min="13" max="13" width="19.42578125" style="200" bestFit="1" customWidth="1"/>
    <col min="14" max="14" width="24.140625" style="205" customWidth="1"/>
    <col min="15" max="15" width="20.85546875" style="205" customWidth="1"/>
    <col min="16" max="16" width="16.42578125" style="205" bestFit="1" customWidth="1"/>
    <col min="17" max="17" width="16.42578125" style="205" customWidth="1"/>
    <col min="18" max="18" width="13" style="205" customWidth="1"/>
    <col min="19" max="19" width="24.42578125" style="205" customWidth="1"/>
    <col min="20" max="20" width="16.42578125" style="205" customWidth="1"/>
    <col min="21" max="21" width="20.85546875" style="205" customWidth="1"/>
    <col min="22" max="22" width="31.42578125" style="199" customWidth="1"/>
    <col min="23" max="23" width="11.42578125" style="200"/>
    <col min="24" max="24" width="21.42578125" style="200" customWidth="1"/>
    <col min="25" max="25" width="7.42578125" style="200" bestFit="1" customWidth="1"/>
    <col min="26" max="26" width="8.42578125" style="200" bestFit="1" customWidth="1"/>
    <col min="27" max="16384" width="11.42578125" style="200"/>
  </cols>
  <sheetData>
    <row r="1" spans="1:26" s="193" customFormat="1" ht="45" customHeight="1" x14ac:dyDescent="0.25">
      <c r="A1" s="191"/>
      <c r="B1" s="192" t="str">
        <f>+'2 CONTEXTO E IDENTIFICACIÓN'!A1</f>
        <v>MAPA DE RIESGOS</v>
      </c>
      <c r="C1" s="78"/>
      <c r="D1" s="79"/>
      <c r="F1" s="194"/>
      <c r="G1" s="195" t="str">
        <f>+'2 CONTEXTO E IDENTIFICACIÓN'!$I$4</f>
        <v>Elaboración o Actualización:</v>
      </c>
      <c r="H1" s="86">
        <f>'2 CONTEXTO E IDENTIFICACIÓN'!J4</f>
        <v>0</v>
      </c>
      <c r="I1" s="80"/>
      <c r="J1" s="80"/>
      <c r="K1" s="80"/>
      <c r="L1" s="196"/>
      <c r="M1" s="197"/>
      <c r="N1" s="196"/>
      <c r="O1" s="196"/>
      <c r="P1" s="196"/>
      <c r="Q1" s="196"/>
      <c r="R1" s="196"/>
      <c r="S1" s="198"/>
      <c r="T1" s="198"/>
      <c r="U1" s="198"/>
      <c r="V1" s="199"/>
      <c r="W1" s="200"/>
      <c r="X1" s="200"/>
      <c r="Y1" s="200"/>
      <c r="Z1" s="200"/>
    </row>
    <row r="2" spans="1:26" s="193" customFormat="1" ht="45" customHeight="1" x14ac:dyDescent="0.25">
      <c r="A2" s="191"/>
      <c r="B2" s="201"/>
      <c r="C2" s="83" t="str">
        <f>+'2 CONTEXTO E IDENTIFICACIÓN'!A2</f>
        <v>VERSIÓN:</v>
      </c>
      <c r="D2" s="83">
        <f>'2 CONTEXTO E IDENTIFICACIÓN'!B2</f>
        <v>1</v>
      </c>
      <c r="G2" s="83" t="str">
        <f>+'2 CONTEXTO E IDENTIFICACIÓN'!$E$5</f>
        <v xml:space="preserve">Vigencia: </v>
      </c>
      <c r="H2" s="86">
        <f>'2 CONTEXTO E IDENTIFICACIÓN'!G5</f>
        <v>46023</v>
      </c>
      <c r="I2" s="94" t="s">
        <v>61</v>
      </c>
      <c r="J2" s="86">
        <f>'2 CONTEXTO E IDENTIFICACIÓN'!J5</f>
        <v>46387</v>
      </c>
      <c r="L2" s="202"/>
      <c r="M2" s="203"/>
      <c r="N2" s="202"/>
      <c r="O2" s="202"/>
      <c r="P2" s="202"/>
      <c r="Q2" s="202"/>
      <c r="R2" s="202"/>
      <c r="S2" s="198"/>
      <c r="T2" s="198"/>
      <c r="U2" s="198"/>
      <c r="V2" s="199"/>
      <c r="W2" s="200"/>
      <c r="X2" s="194"/>
      <c r="Y2" s="194"/>
      <c r="Z2" s="194"/>
    </row>
    <row r="3" spans="1:26" s="193" customFormat="1" ht="16.5" thickBot="1" x14ac:dyDescent="0.3">
      <c r="A3" s="90" t="s">
        <v>55</v>
      </c>
      <c r="B3" s="95" t="str">
        <f>'2 CONTEXTO E IDENTIFICACIÓN'!B4</f>
        <v>AGENCIA PRESIDENCIAL DE COOPERACIÓN INTERNACIONAL DE COLOMBIA APC COLOMBIA</v>
      </c>
      <c r="C3" s="95"/>
      <c r="D3" s="95"/>
      <c r="K3" s="204"/>
      <c r="L3" s="204"/>
      <c r="N3" s="204"/>
      <c r="O3" s="204"/>
      <c r="P3" s="204"/>
      <c r="Q3" s="204"/>
      <c r="R3" s="204"/>
      <c r="S3" s="205"/>
      <c r="T3" s="205"/>
      <c r="U3" s="205"/>
      <c r="V3" s="199"/>
      <c r="W3" s="200"/>
      <c r="X3" s="194"/>
      <c r="Y3" s="194"/>
      <c r="Z3" s="194"/>
    </row>
    <row r="4" spans="1:26" ht="16.5" customHeight="1" x14ac:dyDescent="0.25">
      <c r="A4" s="90" t="s">
        <v>57</v>
      </c>
      <c r="B4" s="95">
        <f>'2 CONTEXTO E IDENTIFICACIÓN'!F4</f>
        <v>0</v>
      </c>
      <c r="C4" s="96"/>
      <c r="D4" s="96"/>
      <c r="E4" s="200" t="s">
        <v>358</v>
      </c>
      <c r="F4" s="203" t="s">
        <v>359</v>
      </c>
      <c r="J4" s="206" t="s">
        <v>360</v>
      </c>
      <c r="K4" s="207"/>
      <c r="L4" s="207"/>
      <c r="M4" s="207"/>
      <c r="N4" s="207"/>
      <c r="O4" s="207"/>
      <c r="P4" s="207"/>
      <c r="Q4" s="207"/>
      <c r="R4" s="208"/>
      <c r="S4" s="209" t="s">
        <v>361</v>
      </c>
      <c r="T4" s="210" t="s">
        <v>362</v>
      </c>
      <c r="U4" s="210"/>
      <c r="V4" s="211" t="s">
        <v>363</v>
      </c>
      <c r="X4" s="59" t="s">
        <v>364</v>
      </c>
      <c r="Y4" s="60"/>
      <c r="Z4" s="61"/>
    </row>
    <row r="5" spans="1:26" ht="33" customHeight="1" x14ac:dyDescent="0.25">
      <c r="A5" s="108"/>
      <c r="B5" s="99"/>
      <c r="C5" s="99"/>
      <c r="D5" s="199"/>
      <c r="J5" s="212"/>
      <c r="K5" s="213"/>
      <c r="L5" s="213"/>
      <c r="M5" s="213"/>
      <c r="N5" s="213"/>
      <c r="O5" s="213"/>
      <c r="P5" s="213"/>
      <c r="Q5" s="213"/>
      <c r="R5" s="214"/>
      <c r="S5" s="215"/>
      <c r="T5" s="210"/>
      <c r="U5" s="210"/>
      <c r="V5" s="211"/>
      <c r="X5" s="62" t="s">
        <v>312</v>
      </c>
      <c r="Y5" s="63" t="s">
        <v>365</v>
      </c>
      <c r="Z5" s="65" t="s">
        <v>366</v>
      </c>
    </row>
    <row r="6" spans="1:26" ht="29.25" customHeight="1" x14ac:dyDescent="0.25">
      <c r="A6" s="216" t="s">
        <v>306</v>
      </c>
      <c r="B6" s="216" t="s">
        <v>307</v>
      </c>
      <c r="C6" s="216" t="s">
        <v>367</v>
      </c>
      <c r="D6" s="216" t="s">
        <v>368</v>
      </c>
      <c r="E6" s="217" t="s">
        <v>369</v>
      </c>
      <c r="F6" s="218" t="s">
        <v>36</v>
      </c>
      <c r="G6" s="219"/>
      <c r="H6" s="219"/>
      <c r="I6" s="217"/>
      <c r="J6" s="220" t="s">
        <v>370</v>
      </c>
      <c r="K6" s="221"/>
      <c r="L6" s="221"/>
      <c r="M6" s="221"/>
      <c r="N6" s="222"/>
      <c r="O6" s="220" t="s">
        <v>371</v>
      </c>
      <c r="P6" s="221"/>
      <c r="Q6" s="221"/>
      <c r="R6" s="222"/>
      <c r="S6" s="223"/>
      <c r="T6" s="210"/>
      <c r="U6" s="210"/>
      <c r="V6" s="211"/>
      <c r="X6" s="66" t="s">
        <v>321</v>
      </c>
      <c r="Y6" s="70">
        <v>0.01</v>
      </c>
      <c r="Z6" s="69">
        <v>0.2</v>
      </c>
    </row>
    <row r="7" spans="1:26" ht="88.5" customHeight="1" thickBot="1" x14ac:dyDescent="0.3">
      <c r="A7" s="224"/>
      <c r="B7" s="224"/>
      <c r="C7" s="224"/>
      <c r="D7" s="224"/>
      <c r="E7" s="208"/>
      <c r="F7" s="225" t="s">
        <v>372</v>
      </c>
      <c r="G7" s="225" t="s">
        <v>373</v>
      </c>
      <c r="H7" s="225" t="s">
        <v>374</v>
      </c>
      <c r="I7" s="225" t="s">
        <v>375</v>
      </c>
      <c r="J7" s="225" t="s">
        <v>376</v>
      </c>
      <c r="K7" s="226" t="s">
        <v>39</v>
      </c>
      <c r="L7" s="226" t="s">
        <v>41</v>
      </c>
      <c r="M7" s="225" t="s">
        <v>42</v>
      </c>
      <c r="N7" s="226" t="s">
        <v>44</v>
      </c>
      <c r="O7" s="226" t="s">
        <v>189</v>
      </c>
      <c r="P7" s="226" t="s">
        <v>190</v>
      </c>
      <c r="Q7" s="226" t="s">
        <v>377</v>
      </c>
      <c r="R7" s="226" t="s">
        <v>378</v>
      </c>
      <c r="S7" s="226" t="s">
        <v>379</v>
      </c>
      <c r="T7" s="226" t="s">
        <v>380</v>
      </c>
      <c r="U7" s="226" t="s">
        <v>381</v>
      </c>
      <c r="V7" s="227" t="s">
        <v>382</v>
      </c>
      <c r="X7" s="72" t="s">
        <v>326</v>
      </c>
      <c r="Y7" s="70">
        <v>0.21</v>
      </c>
      <c r="Z7" s="69">
        <v>0.4</v>
      </c>
    </row>
    <row r="8" spans="1:26" ht="32.450000000000003" customHeight="1" thickBot="1" x14ac:dyDescent="0.3">
      <c r="A8" s="228" t="str">
        <f>'2 CONTEXTO E IDENTIFICACIÓN'!A9</f>
        <v>R1</v>
      </c>
      <c r="B8" s="175" t="str">
        <f>+'2 CONTEXTO E IDENTIFICACIÓN'!J9</f>
        <v>Posibilidad de afectación reputacional por queja, reclamo o llamado de atención interno o externo. a causa de debido a un seguimiento inoportuno a la planeación institucional.</v>
      </c>
      <c r="C8" s="229">
        <f>+'3 PROBABIL E IMPACTO INHERENTE'!E9</f>
        <v>0.6</v>
      </c>
      <c r="D8" s="230">
        <f>+'3 PROBABIL E IMPACTO INHERENTE'!M9</f>
        <v>0.6</v>
      </c>
      <c r="E8" s="178">
        <v>1</v>
      </c>
      <c r="F8" s="176" t="s">
        <v>383</v>
      </c>
      <c r="G8" s="177" t="s">
        <v>384</v>
      </c>
      <c r="H8" s="177" t="s">
        <v>385</v>
      </c>
      <c r="I8" s="178" t="str">
        <f t="shared" ref="I8:I71" si="0">+CONCATENATE(F8," ",G8," ",H8)</f>
        <v>El asesor(a) con funciones de  coordinación del grupo interno de trabajo de planeación. Emitir y/o socializar lineamientos para el seguimiento oportuno de la planeación institucional de la Agencia.  Realiza mesas de trabajo, informa a  los comites, comunica a los responsable, teniendo en cuenta directrices de gobierno, sector, alta dirección de la Agencia, solicitudes de los procesos de la Agencia, situaciones, alertas.</v>
      </c>
      <c r="J8" s="179" t="s">
        <v>199</v>
      </c>
      <c r="K8" s="231">
        <f>+IFERROR(VLOOKUP($J8,'11 FORMULAS'!$B$51:$C$53,2,0),"")</f>
        <v>0.25</v>
      </c>
      <c r="L8" s="231" t="str">
        <f>+IF(J8="Preventivo","Probabilidad",IF(J8="Detectivo","Probabilidad",IF(#REF!="Correctivo","Impacto","")))</f>
        <v>Probabilidad</v>
      </c>
      <c r="M8" s="232" t="s">
        <v>211</v>
      </c>
      <c r="N8" s="231">
        <f>+IFERROR(VLOOKUP($M8,'11 FORMULAS'!$B$54:$C$55,2,0),"")</f>
        <v>0.15</v>
      </c>
      <c r="O8" s="233" t="s">
        <v>222</v>
      </c>
      <c r="P8" s="233" t="s">
        <v>290</v>
      </c>
      <c r="Q8" s="233" t="s">
        <v>203</v>
      </c>
      <c r="R8" s="233" t="s">
        <v>223</v>
      </c>
      <c r="S8" s="231">
        <f t="shared" ref="S8:S39" si="1">+IFERROR($K8+$N8,"")</f>
        <v>0.4</v>
      </c>
      <c r="T8" s="231">
        <f>+IFERROR(C8*S8,"")</f>
        <v>0.24</v>
      </c>
      <c r="U8" s="231">
        <f>+IFERROR(C8-T8,"")</f>
        <v>0.36</v>
      </c>
      <c r="V8" s="234" cm="1">
        <f t="array" ref="V8">LOOKUP(2,1/(U8:U13&lt;&gt;"")*U8:U13)</f>
        <v>0.216</v>
      </c>
      <c r="X8" s="74" t="s">
        <v>330</v>
      </c>
      <c r="Y8" s="70">
        <v>0.41</v>
      </c>
      <c r="Z8" s="69">
        <v>0.6</v>
      </c>
    </row>
    <row r="9" spans="1:26" ht="32.450000000000003" customHeight="1" x14ac:dyDescent="0.25">
      <c r="A9" s="235"/>
      <c r="B9" s="180"/>
      <c r="C9" s="236"/>
      <c r="D9" s="237"/>
      <c r="E9" s="178">
        <v>2</v>
      </c>
      <c r="F9" s="176" t="s">
        <v>383</v>
      </c>
      <c r="G9" s="179" t="s">
        <v>386</v>
      </c>
      <c r="H9" s="179" t="s">
        <v>387</v>
      </c>
      <c r="I9" s="178" t="str">
        <f t="shared" si="0"/>
        <v>El asesor(a) con funciones de  coordinación del grupo interno de trabajo de planeación. Efectuar seguimiento oportuno y articulado a la planeacion institucional, con base en los lineamientos establecidos para el esquema de las líneas de defensa de la Agencia. Solicita información o documentos para el seguimiento periódico o realiza mesas de trabajo con el esquema de las líneas de defensa para acompañar o asesorar y plantear los correctivos a que haya lugar frente a la ejecución de la planeación institucional.</v>
      </c>
      <c r="J9" s="179" t="s">
        <v>199</v>
      </c>
      <c r="K9" s="231">
        <f>+IFERROR(VLOOKUP($J9,'11 FORMULAS'!$B$51:$C$53,2,0),"")</f>
        <v>0.25</v>
      </c>
      <c r="L9" s="231" t="str">
        <f>+IF(J9="Preventivo","Probabilidad",IF(J9="Detectivo","Probabilidad",IF(#REF!="Correctivo","Impacto","")))</f>
        <v>Probabilidad</v>
      </c>
      <c r="M9" s="232" t="s">
        <v>211</v>
      </c>
      <c r="N9" s="231">
        <f>+IFERROR(VLOOKUP($M9,'11 FORMULAS'!$B$54:$C$55,2,0),"")</f>
        <v>0.15</v>
      </c>
      <c r="O9" s="233" t="s">
        <v>222</v>
      </c>
      <c r="P9" s="233" t="s">
        <v>290</v>
      </c>
      <c r="Q9" s="233" t="s">
        <v>203</v>
      </c>
      <c r="R9" s="233" t="s">
        <v>298</v>
      </c>
      <c r="S9" s="231">
        <f t="shared" si="1"/>
        <v>0.4</v>
      </c>
      <c r="T9" s="231">
        <f>+IFERROR(U8*S9,"")</f>
        <v>0.14399999999999999</v>
      </c>
      <c r="U9" s="231">
        <f>+IFERROR(U8-T9,"")</f>
        <v>0.216</v>
      </c>
      <c r="V9" s="238"/>
      <c r="X9" s="75" t="s">
        <v>334</v>
      </c>
      <c r="Y9" s="70">
        <v>0.61</v>
      </c>
      <c r="Z9" s="69">
        <v>0.8</v>
      </c>
    </row>
    <row r="10" spans="1:26" ht="32.450000000000003" customHeight="1" x14ac:dyDescent="0.25">
      <c r="A10" s="235"/>
      <c r="B10" s="180"/>
      <c r="C10" s="236"/>
      <c r="D10" s="237"/>
      <c r="E10" s="178">
        <v>3</v>
      </c>
      <c r="F10" s="181"/>
      <c r="G10" s="179"/>
      <c r="H10" s="179"/>
      <c r="I10" s="178" t="str">
        <f t="shared" si="0"/>
        <v xml:space="preserve">  </v>
      </c>
      <c r="J10" s="179"/>
      <c r="K10" s="231" t="str">
        <f>+IFERROR(VLOOKUP($J10,'11 FORMULAS'!$B$51:$C$53,2,0),"")</f>
        <v/>
      </c>
      <c r="L10" s="231" t="e">
        <f>+IF(J10="Preventivo","Probabilidad",IF(J10="Detectivo","Probabilidad",IF(#REF!="Correctivo","Impacto","")))</f>
        <v>#REF!</v>
      </c>
      <c r="M10" s="232"/>
      <c r="N10" s="231" t="str">
        <f>+IFERROR(VLOOKUP($M10,'11 FORMULAS'!$B$54:$C$55,2,0),"")</f>
        <v/>
      </c>
      <c r="O10" s="233"/>
      <c r="P10" s="233"/>
      <c r="Q10" s="233"/>
      <c r="R10" s="233"/>
      <c r="S10" s="231" t="str">
        <f t="shared" si="1"/>
        <v/>
      </c>
      <c r="T10" s="231" t="str">
        <f>+IFERROR(U9*S10,"")</f>
        <v/>
      </c>
      <c r="U10" s="231" t="str">
        <f>+IFERROR(U9-T10,"")</f>
        <v/>
      </c>
      <c r="V10" s="238"/>
      <c r="X10" s="76" t="s">
        <v>339</v>
      </c>
      <c r="Y10" s="70">
        <v>0.81</v>
      </c>
      <c r="Z10" s="69">
        <v>1</v>
      </c>
    </row>
    <row r="11" spans="1:26" ht="32.450000000000003" customHeight="1" x14ac:dyDescent="0.25">
      <c r="A11" s="235"/>
      <c r="B11" s="180"/>
      <c r="C11" s="236"/>
      <c r="D11" s="237"/>
      <c r="E11" s="178">
        <v>4</v>
      </c>
      <c r="F11" s="181"/>
      <c r="G11" s="179"/>
      <c r="H11" s="179"/>
      <c r="I11" s="178"/>
      <c r="J11" s="179"/>
      <c r="K11" s="231" t="str">
        <f>+IFERROR(VLOOKUP($J11,'11 FORMULAS'!$B$51:$C$53,2,0),"")</f>
        <v/>
      </c>
      <c r="L11" s="231" t="e">
        <f>+IF(J11="Preventivo","Probabilidad",IF(J11="Detectivo","Probabilidad",IF(#REF!="Correctivo","Impacto","")))</f>
        <v>#REF!</v>
      </c>
      <c r="M11" s="232"/>
      <c r="N11" s="231" t="str">
        <f>+IFERROR(VLOOKUP($M11,'11 FORMULAS'!$B$54:$C$55,2,0),"")</f>
        <v/>
      </c>
      <c r="O11" s="233"/>
      <c r="P11" s="233"/>
      <c r="Q11" s="233"/>
      <c r="R11" s="233"/>
      <c r="S11" s="231" t="str">
        <f t="shared" si="1"/>
        <v/>
      </c>
      <c r="T11" s="231" t="str">
        <f>+IFERROR(U10*S11,"")</f>
        <v/>
      </c>
      <c r="U11" s="231" t="str">
        <f>+IFERROR(U10-T11,"")</f>
        <v/>
      </c>
      <c r="V11" s="238"/>
      <c r="X11" s="239"/>
      <c r="Y11" s="239"/>
      <c r="Z11" s="239"/>
    </row>
    <row r="12" spans="1:26" ht="32.450000000000003" customHeight="1" x14ac:dyDescent="0.25">
      <c r="A12" s="235"/>
      <c r="B12" s="180"/>
      <c r="C12" s="236"/>
      <c r="D12" s="237"/>
      <c r="E12" s="178">
        <v>5</v>
      </c>
      <c r="F12" s="181"/>
      <c r="G12" s="179"/>
      <c r="H12" s="179"/>
      <c r="I12" s="178" t="str">
        <f t="shared" si="0"/>
        <v xml:space="preserve">  </v>
      </c>
      <c r="J12" s="179"/>
      <c r="K12" s="231" t="str">
        <f>+IFERROR(VLOOKUP($J12,'11 FORMULAS'!$B$51:$C$53,2,0),"")</f>
        <v/>
      </c>
      <c r="L12" s="231" t="e">
        <f>+IF(J12="Preventivo","Probabilidad",IF(J12="Detectivo","Probabilidad",IF(#REF!="Correctivo","Impacto","")))</f>
        <v>#REF!</v>
      </c>
      <c r="M12" s="232"/>
      <c r="N12" s="231" t="str">
        <f>+IFERROR(VLOOKUP($M12,'11 FORMULAS'!$B$54:$C$55,2,0),"")</f>
        <v/>
      </c>
      <c r="O12" s="233"/>
      <c r="P12" s="233"/>
      <c r="Q12" s="233"/>
      <c r="R12" s="233"/>
      <c r="S12" s="231" t="str">
        <f t="shared" si="1"/>
        <v/>
      </c>
      <c r="T12" s="231" t="str">
        <f>+IFERROR(U11*S12,"")</f>
        <v/>
      </c>
      <c r="U12" s="231" t="str">
        <f>+IFERROR(U11-T12,"")</f>
        <v/>
      </c>
      <c r="V12" s="238"/>
      <c r="X12" s="239"/>
      <c r="Y12" s="239"/>
      <c r="Z12" s="239"/>
    </row>
    <row r="13" spans="1:26" ht="32.450000000000003" customHeight="1" thickBot="1" x14ac:dyDescent="0.3">
      <c r="A13" s="240"/>
      <c r="B13" s="182"/>
      <c r="C13" s="241"/>
      <c r="D13" s="242"/>
      <c r="E13" s="243">
        <v>6</v>
      </c>
      <c r="F13" s="183"/>
      <c r="G13" s="184"/>
      <c r="H13" s="184"/>
      <c r="I13" s="178" t="str">
        <f t="shared" si="0"/>
        <v xml:space="preserve">  </v>
      </c>
      <c r="J13" s="179"/>
      <c r="K13" s="231" t="str">
        <f>+IFERROR(VLOOKUP($J13,'11 FORMULAS'!$B$51:$C$53,2,0),"")</f>
        <v/>
      </c>
      <c r="L13" s="231" t="e">
        <f>+IF(J13="Preventivo","Probabilidad",IF(J13="Detectivo","Probabilidad",IF(#REF!="Correctivo","Impacto","")))</f>
        <v>#REF!</v>
      </c>
      <c r="M13" s="232"/>
      <c r="N13" s="231" t="str">
        <f>+IFERROR(VLOOKUP($M13,'11 FORMULAS'!$B$54:$C$55,2,0),"")</f>
        <v/>
      </c>
      <c r="O13" s="233"/>
      <c r="P13" s="233"/>
      <c r="Q13" s="233"/>
      <c r="R13" s="233"/>
      <c r="S13" s="231" t="str">
        <f t="shared" si="1"/>
        <v/>
      </c>
      <c r="T13" s="231" t="str">
        <f>+IFERROR(U12*S13,"")</f>
        <v/>
      </c>
      <c r="U13" s="231" t="str">
        <f>+IFERROR(U12-T13,"")</f>
        <v/>
      </c>
      <c r="V13" s="244"/>
      <c r="X13" s="239"/>
      <c r="Y13" s="239"/>
      <c r="Z13" s="239"/>
    </row>
    <row r="14" spans="1:26" ht="32.450000000000003" customHeight="1" x14ac:dyDescent="0.25">
      <c r="A14" s="228" t="str">
        <f>'2 CONTEXTO E IDENTIFICACIÓN'!A10</f>
        <v>R2</v>
      </c>
      <c r="B14" s="175" t="str">
        <f>+'2 CONTEXTO E IDENTIFICACIÓN'!J10</f>
        <v>Posibilidad  de efecto dañoso sobre el recurso público por    la generación de intereses moratorios en las planillas de seguridad social a causa de     no reporte de novedades dentro de los plazos establecidos</v>
      </c>
      <c r="C14" s="245">
        <f>+'3 PROBABIL E IMPACTO INHERENTE'!E10</f>
        <v>0.4</v>
      </c>
      <c r="D14" s="230">
        <f>+'3 PROBABIL E IMPACTO INHERENTE'!M10</f>
        <v>0.2</v>
      </c>
      <c r="E14" s="246">
        <v>1</v>
      </c>
      <c r="F14" s="176" t="s">
        <v>388</v>
      </c>
      <c r="G14" s="177" t="s">
        <v>389</v>
      </c>
      <c r="H14" s="177" t="s">
        <v>390</v>
      </c>
      <c r="I14" s="178" t="str">
        <f t="shared" si="0"/>
        <v>Coordinador del Grupo Interno de trabajo de Talento Humano Revisar a  los conceptos liquidados en la nómina o de liquidaciones finales y de los actos administrativos. Si se identifican diferencias en los conceptos liquidados en la nómina o de liquidaciones finales, devolverá al profesional de nómina para su verificación y ajuste correspondiente.  para el caso de los actos administrativos se ajusta con otro acto administrativo.</v>
      </c>
      <c r="J14" s="179" t="s">
        <v>199</v>
      </c>
      <c r="K14" s="231">
        <f>+IFERROR(VLOOKUP($J14,'11 FORMULAS'!$B$51:$C$53,2,0),"")</f>
        <v>0.25</v>
      </c>
      <c r="L14" s="231" t="str">
        <f>+IF(J14="Preventivo","Probabilidad",IF(J14="Detectivo","Probabilidad",IF(#REF!="Correctivo","Impacto","")))</f>
        <v>Probabilidad</v>
      </c>
      <c r="M14" s="232" t="s">
        <v>211</v>
      </c>
      <c r="N14" s="231">
        <f>+IFERROR(VLOOKUP($M14,'11 FORMULAS'!$B$54:$C$55,2,0),"")</f>
        <v>0.15</v>
      </c>
      <c r="O14" s="233" t="s">
        <v>201</v>
      </c>
      <c r="P14" s="233" t="s">
        <v>289</v>
      </c>
      <c r="Q14" s="233" t="s">
        <v>214</v>
      </c>
      <c r="R14" s="233" t="s">
        <v>223</v>
      </c>
      <c r="S14" s="231">
        <f t="shared" si="1"/>
        <v>0.4</v>
      </c>
      <c r="T14" s="231">
        <f>+IFERROR(C14*S14,"")</f>
        <v>0.16000000000000003</v>
      </c>
      <c r="U14" s="231">
        <f>+IFERROR(C14-T14,"")</f>
        <v>0.24</v>
      </c>
      <c r="V14" s="234" cm="1">
        <f t="array" ref="V14">LOOKUP(2,1/(U14:U19&lt;&gt;"")*U14:U19)</f>
        <v>0.14399999999999999</v>
      </c>
      <c r="X14" s="239"/>
      <c r="Y14" s="247"/>
      <c r="Z14" s="247"/>
    </row>
    <row r="15" spans="1:26" ht="32.450000000000003" customHeight="1" x14ac:dyDescent="0.25">
      <c r="A15" s="235"/>
      <c r="B15" s="180"/>
      <c r="C15" s="248"/>
      <c r="D15" s="237"/>
      <c r="E15" s="178">
        <v>2</v>
      </c>
      <c r="F15" s="181" t="s">
        <v>388</v>
      </c>
      <c r="G15" s="179" t="s">
        <v>391</v>
      </c>
      <c r="H15" s="179" t="s">
        <v>392</v>
      </c>
      <c r="I15" s="178" t="str">
        <f t="shared" si="0"/>
        <v>Coordinador del Grupo Interno de trabajo de Talento Humano Hará validaciones a los conceptos liquidados en la nómina o de liquidaciones finales y de los actos administrativos. Cuando se identifican errores en el cálculo  en los conceptos liquidados en la nómina o de liquidaciones finales,  se informa a través de correo electrónico la novedad presentada al proceso de Gestión de Tecnologías de la Información (TI), quien documentará el caso al proveedor. Una vez solucionado el caso, el proceso de TI comunica a Talento Humano para revisión y verificación. Este hará los respectivos análisis, para continuar con la gestión.
Para el caso de los actos administrativos se ajusta con otro acto administrativo</v>
      </c>
      <c r="J15" s="179" t="s">
        <v>199</v>
      </c>
      <c r="K15" s="231">
        <f>+IFERROR(VLOOKUP($J15,'11 FORMULAS'!$B$51:$C$53,2,0),"")</f>
        <v>0.25</v>
      </c>
      <c r="L15" s="231" t="str">
        <f>+IF(J15="Preventivo","Probabilidad",IF(J15="Detectivo","Probabilidad",IF(#REF!="Correctivo","Impacto","")))</f>
        <v>Probabilidad</v>
      </c>
      <c r="M15" s="232" t="s">
        <v>211</v>
      </c>
      <c r="N15" s="231">
        <f>+IFERROR(VLOOKUP($M15,'11 FORMULAS'!$B$54:$C$55,2,0),"")</f>
        <v>0.15</v>
      </c>
      <c r="O15" s="233" t="s">
        <v>222</v>
      </c>
      <c r="P15" s="233" t="s">
        <v>289</v>
      </c>
      <c r="Q15" s="233" t="s">
        <v>203</v>
      </c>
      <c r="R15" s="233" t="s">
        <v>204</v>
      </c>
      <c r="S15" s="231">
        <f t="shared" si="1"/>
        <v>0.4</v>
      </c>
      <c r="T15" s="231">
        <f>+IFERROR(U14*S15,"")</f>
        <v>9.6000000000000002E-2</v>
      </c>
      <c r="U15" s="231">
        <f>+IFERROR(U14-T15,"")</f>
        <v>0.14399999999999999</v>
      </c>
      <c r="V15" s="238"/>
      <c r="X15" s="239"/>
      <c r="Y15" s="247"/>
      <c r="Z15" s="247"/>
    </row>
    <row r="16" spans="1:26" ht="32.450000000000003" customHeight="1" x14ac:dyDescent="0.25">
      <c r="A16" s="235"/>
      <c r="B16" s="180"/>
      <c r="C16" s="248"/>
      <c r="D16" s="237"/>
      <c r="E16" s="178">
        <v>3</v>
      </c>
      <c r="F16" s="181"/>
      <c r="G16" s="179"/>
      <c r="H16" s="179"/>
      <c r="I16" s="178" t="str">
        <f t="shared" si="0"/>
        <v xml:space="preserve">  </v>
      </c>
      <c r="J16" s="179"/>
      <c r="K16" s="231" t="str">
        <f>+IFERROR(VLOOKUP($J16,'11 FORMULAS'!$B$51:$C$53,2,0),"")</f>
        <v/>
      </c>
      <c r="L16" s="231" t="e">
        <f>+IF(J16="Preventivo","Probabilidad",IF(J16="Detectivo","Probabilidad",IF(#REF!="Correctivo","Impacto","")))</f>
        <v>#REF!</v>
      </c>
      <c r="M16" s="232"/>
      <c r="N16" s="231" t="str">
        <f>+IFERROR(VLOOKUP($M16,'11 FORMULAS'!$B$54:$C$55,2,0),"")</f>
        <v/>
      </c>
      <c r="O16" s="233"/>
      <c r="P16" s="233"/>
      <c r="Q16" s="233"/>
      <c r="R16" s="233"/>
      <c r="S16" s="231" t="str">
        <f t="shared" si="1"/>
        <v/>
      </c>
      <c r="T16" s="231" t="str">
        <f>+IFERROR(U15*S16,"")</f>
        <v/>
      </c>
      <c r="U16" s="231" t="str">
        <f>+IFERROR(U15-T16,"")</f>
        <v/>
      </c>
      <c r="V16" s="238"/>
      <c r="X16" s="239"/>
      <c r="Y16" s="247"/>
      <c r="Z16" s="247"/>
    </row>
    <row r="17" spans="1:26" ht="32.450000000000003" customHeight="1" x14ac:dyDescent="0.25">
      <c r="A17" s="249"/>
      <c r="B17" s="185"/>
      <c r="C17" s="248"/>
      <c r="D17" s="250"/>
      <c r="E17" s="178">
        <v>4</v>
      </c>
      <c r="F17" s="186"/>
      <c r="G17" s="187"/>
      <c r="H17" s="187"/>
      <c r="I17" s="178" t="str">
        <f t="shared" si="0"/>
        <v xml:space="preserve">  </v>
      </c>
      <c r="J17" s="179"/>
      <c r="K17" s="231" t="str">
        <f>+IFERROR(VLOOKUP($J17,'11 FORMULAS'!$B$51:$C$53,2,0),"")</f>
        <v/>
      </c>
      <c r="L17" s="231" t="e">
        <f>+IF(J17="Preventivo","Probabilidad",IF(J17="Detectivo","Probabilidad",IF(#REF!="Correctivo","Impacto","")))</f>
        <v>#REF!</v>
      </c>
      <c r="M17" s="232"/>
      <c r="N17" s="231" t="str">
        <f>+IFERROR(VLOOKUP($M17,'11 FORMULAS'!$B$54:$C$55,2,0),"")</f>
        <v/>
      </c>
      <c r="O17" s="233"/>
      <c r="P17" s="233"/>
      <c r="Q17" s="233"/>
      <c r="R17" s="233"/>
      <c r="S17" s="231" t="str">
        <f t="shared" si="1"/>
        <v/>
      </c>
      <c r="T17" s="231" t="str">
        <f>+IFERROR(U16*S17,"")</f>
        <v/>
      </c>
      <c r="U17" s="231" t="str">
        <f>+IFERROR(U16-T17,"")</f>
        <v/>
      </c>
      <c r="V17" s="238"/>
      <c r="X17" s="239"/>
      <c r="Y17" s="247"/>
      <c r="Z17" s="247"/>
    </row>
    <row r="18" spans="1:26" ht="32.450000000000003" customHeight="1" x14ac:dyDescent="0.25">
      <c r="A18" s="249"/>
      <c r="B18" s="185"/>
      <c r="C18" s="248"/>
      <c r="D18" s="250"/>
      <c r="E18" s="178">
        <v>5</v>
      </c>
      <c r="F18" s="186"/>
      <c r="G18" s="187"/>
      <c r="H18" s="187"/>
      <c r="I18" s="178" t="str">
        <f t="shared" si="0"/>
        <v xml:space="preserve">  </v>
      </c>
      <c r="J18" s="179"/>
      <c r="K18" s="231" t="str">
        <f>+IFERROR(VLOOKUP($J18,'11 FORMULAS'!$B$51:$C$53,2,0),"")</f>
        <v/>
      </c>
      <c r="L18" s="231" t="e">
        <f>+IF(J18="Preventivo","Probabilidad",IF(J18="Detectivo","Probabilidad",IF(#REF!="Correctivo","Impacto","")))</f>
        <v>#REF!</v>
      </c>
      <c r="M18" s="232"/>
      <c r="N18" s="231" t="str">
        <f>+IFERROR(VLOOKUP($M18,'11 FORMULAS'!$B$54:$C$55,2,0),"")</f>
        <v/>
      </c>
      <c r="O18" s="233"/>
      <c r="P18" s="233"/>
      <c r="Q18" s="233"/>
      <c r="R18" s="233"/>
      <c r="S18" s="231" t="str">
        <f t="shared" si="1"/>
        <v/>
      </c>
      <c r="T18" s="231" t="str">
        <f>+IFERROR(U17*S18,"")</f>
        <v/>
      </c>
      <c r="U18" s="231" t="str">
        <f>+IFERROR(U17-T18,"")</f>
        <v/>
      </c>
      <c r="V18" s="238"/>
      <c r="X18" s="239"/>
      <c r="Y18" s="247"/>
      <c r="Z18" s="247"/>
    </row>
    <row r="19" spans="1:26" ht="32.450000000000003" customHeight="1" thickBot="1" x14ac:dyDescent="0.3">
      <c r="A19" s="240"/>
      <c r="B19" s="182"/>
      <c r="C19" s="251"/>
      <c r="D19" s="242"/>
      <c r="E19" s="243">
        <v>6</v>
      </c>
      <c r="F19" s="183"/>
      <c r="G19" s="184"/>
      <c r="H19" s="184"/>
      <c r="I19" s="178" t="str">
        <f t="shared" si="0"/>
        <v xml:space="preserve">  </v>
      </c>
      <c r="J19" s="179"/>
      <c r="K19" s="231" t="str">
        <f>+IFERROR(VLOOKUP($J19,'11 FORMULAS'!$B$51:$C$53,2,0),"")</f>
        <v/>
      </c>
      <c r="L19" s="231" t="e">
        <f>+IF(J19="Preventivo","Probabilidad",IF(J19="Detectivo","Probabilidad",IF(#REF!="Correctivo","Impacto","")))</f>
        <v>#REF!</v>
      </c>
      <c r="M19" s="232"/>
      <c r="N19" s="231" t="str">
        <f>+IFERROR(VLOOKUP($M19,'11 FORMULAS'!$B$54:$C$55,2,0),"")</f>
        <v/>
      </c>
      <c r="O19" s="233"/>
      <c r="P19" s="233"/>
      <c r="Q19" s="233"/>
      <c r="R19" s="233"/>
      <c r="S19" s="231" t="str">
        <f t="shared" si="1"/>
        <v/>
      </c>
      <c r="T19" s="231" t="str">
        <f>+IFERROR(U18*S19,"")</f>
        <v/>
      </c>
      <c r="U19" s="231" t="str">
        <f>+IFERROR(U18-T19,"")</f>
        <v/>
      </c>
      <c r="V19" s="244"/>
    </row>
    <row r="20" spans="1:26" ht="32.450000000000003" customHeight="1" x14ac:dyDescent="0.25">
      <c r="A20" s="228" t="str">
        <f>'2 CONTEXTO E IDENTIFICACIÓN'!A11</f>
        <v>R3</v>
      </c>
      <c r="B20" s="175" t="str">
        <f>+'2 CONTEXTO E IDENTIFICACIÓN'!J11</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C20" s="229">
        <f>+'3 PROBABIL E IMPACTO INHERENTE'!E11</f>
        <v>0.6</v>
      </c>
      <c r="D20" s="230">
        <f>+'3 PROBABIL E IMPACTO INHERENTE'!M11</f>
        <v>0.4</v>
      </c>
      <c r="E20" s="246">
        <v>1</v>
      </c>
      <c r="F20" s="176" t="s">
        <v>393</v>
      </c>
      <c r="G20" s="177" t="s">
        <v>394</v>
      </c>
      <c r="H20" s="177" t="s">
        <v>395</v>
      </c>
      <c r="I20" s="178" t="str">
        <f t="shared" si="0"/>
        <v>El(la) coordinador(a) del grupo interno de trabajo de gestión contractual y el equipo de trabajo. Gestionar la capacitación a los estructuradores de procesos contractuales en matriz de riesgos y garantías Cuando aplique se realiza ajustes necesarios frente a los temas a capacitar y/o reprograma la capacitación.</v>
      </c>
      <c r="J20" s="179" t="s">
        <v>199</v>
      </c>
      <c r="K20" s="231">
        <f>+IFERROR(VLOOKUP($J20,'11 FORMULAS'!$B$51:$C$53,2,0),"")</f>
        <v>0.25</v>
      </c>
      <c r="L20" s="231" t="str">
        <f>+IF(J20="Preventivo","Probabilidad",IF(J20="Detectivo","Probabilidad",IF(#REF!="Correctivo","Impacto","")))</f>
        <v>Probabilidad</v>
      </c>
      <c r="M20" s="232" t="s">
        <v>211</v>
      </c>
      <c r="N20" s="231">
        <f>+IFERROR(VLOOKUP($M20,'11 FORMULAS'!$B$54:$C$55,2,0),"")</f>
        <v>0.15</v>
      </c>
      <c r="O20" s="233" t="s">
        <v>201</v>
      </c>
      <c r="P20" s="233" t="s">
        <v>292</v>
      </c>
      <c r="Q20" s="233" t="s">
        <v>203</v>
      </c>
      <c r="R20" s="233" t="s">
        <v>204</v>
      </c>
      <c r="S20" s="231">
        <f t="shared" si="1"/>
        <v>0.4</v>
      </c>
      <c r="T20" s="231">
        <f>+IFERROR(C20*S20,"")</f>
        <v>0.24</v>
      </c>
      <c r="U20" s="231">
        <f>+IFERROR(C20-T20,"")</f>
        <v>0.36</v>
      </c>
      <c r="V20" s="234" cm="1">
        <f t="array" ref="V20">LOOKUP(2,1/(U20:U25&lt;&gt;"")*U20:U25)</f>
        <v>4.6655999999999996E-2</v>
      </c>
      <c r="X20" s="239"/>
      <c r="Y20" s="247"/>
      <c r="Z20" s="247"/>
    </row>
    <row r="21" spans="1:26" ht="32.450000000000003" customHeight="1" x14ac:dyDescent="0.25">
      <c r="A21" s="235"/>
      <c r="B21" s="180"/>
      <c r="C21" s="236"/>
      <c r="D21" s="237"/>
      <c r="E21" s="178">
        <v>2</v>
      </c>
      <c r="F21" s="181" t="s">
        <v>393</v>
      </c>
      <c r="G21" s="179" t="s">
        <v>396</v>
      </c>
      <c r="H21" s="179" t="s">
        <v>397</v>
      </c>
      <c r="I21" s="178" t="str">
        <f t="shared" si="0"/>
        <v xml:space="preserve">El(la) coordinador(a) del grupo interno de trabajo de gestión contractual y el equipo de trabajo. Revisar juridicamente los estudios previos y la documentación acorde a cada modalidad contractual. Devuelve al solicitante para ajustes y/o correcciones de los estudios previos y la documentación acorde. </v>
      </c>
      <c r="J21" s="179" t="s">
        <v>199</v>
      </c>
      <c r="K21" s="231">
        <f>+IFERROR(VLOOKUP($J21,'11 FORMULAS'!$B$51:$C$53,2,0),"")</f>
        <v>0.25</v>
      </c>
      <c r="L21" s="231" t="str">
        <f>+IF(J21="Preventivo","Probabilidad",IF(J21="Detectivo","Probabilidad",IF(#REF!="Correctivo","Impacto","")))</f>
        <v>Probabilidad</v>
      </c>
      <c r="M21" s="232" t="s">
        <v>211</v>
      </c>
      <c r="N21" s="231">
        <f>+IFERROR(VLOOKUP($M21,'11 FORMULAS'!$B$54:$C$55,2,0),"")</f>
        <v>0.15</v>
      </c>
      <c r="O21" s="233" t="s">
        <v>201</v>
      </c>
      <c r="P21" s="233" t="s">
        <v>291</v>
      </c>
      <c r="Q21" s="233" t="s">
        <v>203</v>
      </c>
      <c r="R21" s="233" t="s">
        <v>204</v>
      </c>
      <c r="S21" s="231">
        <f t="shared" si="1"/>
        <v>0.4</v>
      </c>
      <c r="T21" s="231">
        <f>+IFERROR(U20*S21,"")</f>
        <v>0.14399999999999999</v>
      </c>
      <c r="U21" s="231">
        <f>+IFERROR(U20-T21,"")</f>
        <v>0.216</v>
      </c>
      <c r="V21" s="238"/>
      <c r="X21" s="239"/>
      <c r="Y21" s="247"/>
      <c r="Z21" s="247"/>
    </row>
    <row r="22" spans="1:26" ht="32.450000000000003" customHeight="1" x14ac:dyDescent="0.25">
      <c r="A22" s="235"/>
      <c r="B22" s="180"/>
      <c r="C22" s="236"/>
      <c r="D22" s="237"/>
      <c r="E22" s="178">
        <v>3</v>
      </c>
      <c r="F22" s="181" t="s">
        <v>393</v>
      </c>
      <c r="G22" s="179" t="s">
        <v>398</v>
      </c>
      <c r="H22" s="179" t="s">
        <v>399</v>
      </c>
      <c r="I22" s="178" t="str">
        <f t="shared" si="0"/>
        <v xml:space="preserve">El(la) coordinador(a) del grupo interno de trabajo de gestión contractual y el equipo de trabajo. Imprimir las garantías y las adjuntan al expediente físico contractual con el pantallazo de aprobación en SECOP II. Devuelve al solicitante para ajustes y/o correcciones de las grarantías.  </v>
      </c>
      <c r="J22" s="179" t="s">
        <v>199</v>
      </c>
      <c r="K22" s="231">
        <f>+IFERROR(VLOOKUP($J22,'11 FORMULAS'!$B$51:$C$53,2,0),"")</f>
        <v>0.25</v>
      </c>
      <c r="L22" s="231" t="str">
        <f>+IF(J22="Preventivo","Probabilidad",IF(J22="Detectivo","Probabilidad",IF(#REF!="Correctivo","Impacto","")))</f>
        <v>Probabilidad</v>
      </c>
      <c r="M22" s="232" t="s">
        <v>211</v>
      </c>
      <c r="N22" s="231">
        <f>+IFERROR(VLOOKUP($M22,'11 FORMULAS'!$B$54:$C$55,2,0),"")</f>
        <v>0.15</v>
      </c>
      <c r="O22" s="233" t="s">
        <v>201</v>
      </c>
      <c r="P22" s="233" t="s">
        <v>291</v>
      </c>
      <c r="Q22" s="233" t="s">
        <v>203</v>
      </c>
      <c r="R22" s="233" t="s">
        <v>204</v>
      </c>
      <c r="S22" s="231">
        <f t="shared" si="1"/>
        <v>0.4</v>
      </c>
      <c r="T22" s="231">
        <f t="shared" ref="T22:T24" si="2">+IFERROR(U21*S22,"")</f>
        <v>8.6400000000000005E-2</v>
      </c>
      <c r="U22" s="231">
        <f t="shared" ref="U22:U24" si="3">+IFERROR(U21-T22,"")</f>
        <v>0.12959999999999999</v>
      </c>
      <c r="V22" s="238"/>
      <c r="X22" s="239"/>
      <c r="Y22" s="247"/>
      <c r="Z22" s="247"/>
    </row>
    <row r="23" spans="1:26" ht="32.450000000000003" customHeight="1" x14ac:dyDescent="0.25">
      <c r="A23" s="235"/>
      <c r="B23" s="180"/>
      <c r="C23" s="236"/>
      <c r="D23" s="237"/>
      <c r="E23" s="178">
        <v>4</v>
      </c>
      <c r="F23" s="181" t="s">
        <v>393</v>
      </c>
      <c r="G23" s="179" t="s">
        <v>400</v>
      </c>
      <c r="H23" s="179" t="s">
        <v>401</v>
      </c>
      <c r="I23" s="178" t="str">
        <f t="shared" si="0"/>
        <v>El(la) coordinador(a) del grupo interno de trabajo de gestión contractual y el equipo de trabajo. Verificar la expedición del registro presupuestal. Devuelve al solicitante para ajustes y/o correcciones de los regsistros presupuestales.</v>
      </c>
      <c r="J23" s="179" t="s">
        <v>199</v>
      </c>
      <c r="K23" s="231">
        <f>+IFERROR(VLOOKUP($J23,'11 FORMULAS'!$B$51:$C$53,2,0),"")</f>
        <v>0.25</v>
      </c>
      <c r="L23" s="231" t="str">
        <f>+IF(J23="Preventivo","Probabilidad",IF(J23="Detectivo","Probabilidad",IF(#REF!="Correctivo","Impacto","")))</f>
        <v>Probabilidad</v>
      </c>
      <c r="M23" s="232" t="s">
        <v>211</v>
      </c>
      <c r="N23" s="231">
        <f>+IFERROR(VLOOKUP($M23,'11 FORMULAS'!$B$54:$C$55,2,0),"")</f>
        <v>0.15</v>
      </c>
      <c r="O23" s="233" t="s">
        <v>212</v>
      </c>
      <c r="P23" s="233" t="s">
        <v>291</v>
      </c>
      <c r="Q23" s="233" t="s">
        <v>203</v>
      </c>
      <c r="R23" s="233" t="s">
        <v>204</v>
      </c>
      <c r="S23" s="231">
        <f t="shared" si="1"/>
        <v>0.4</v>
      </c>
      <c r="T23" s="231">
        <f t="shared" si="2"/>
        <v>5.1839999999999997E-2</v>
      </c>
      <c r="U23" s="231">
        <f t="shared" si="3"/>
        <v>7.7759999999999996E-2</v>
      </c>
      <c r="V23" s="238"/>
      <c r="X23" s="239"/>
      <c r="Y23" s="247"/>
      <c r="Z23" s="247"/>
    </row>
    <row r="24" spans="1:26" ht="32.450000000000003" customHeight="1" x14ac:dyDescent="0.25">
      <c r="A24" s="235"/>
      <c r="B24" s="180"/>
      <c r="C24" s="236"/>
      <c r="D24" s="237"/>
      <c r="E24" s="178">
        <v>5</v>
      </c>
      <c r="F24" s="181" t="s">
        <v>393</v>
      </c>
      <c r="G24" s="179" t="s">
        <v>402</v>
      </c>
      <c r="H24" s="179"/>
      <c r="I24" s="178" t="str">
        <f t="shared" si="0"/>
        <v xml:space="preserve">El(la) coordinador(a) del grupo interno de trabajo de gestión contractual y el equipo de trabajo. Convocar a comités de Contratación,
Velar para que las actuaciones de quienes intervengan en el desarrollo de la actividad contractual de la Entidad, se realicen conforme a los principios de transparencia, economía, responsabilidad y a los postulados de la función administrativa, tal como lo ordenan las normas vigentes. </v>
      </c>
      <c r="J24" s="179" t="s">
        <v>199</v>
      </c>
      <c r="K24" s="231">
        <f>+IFERROR(VLOOKUP($J24,'11 FORMULAS'!$B$51:$C$53,2,0),"")</f>
        <v>0.25</v>
      </c>
      <c r="L24" s="231" t="str">
        <f>+IF(J24="Preventivo","Probabilidad",IF(J24="Detectivo","Probabilidad",IF(#REF!="Correctivo","Impacto","")))</f>
        <v>Probabilidad</v>
      </c>
      <c r="M24" s="232" t="s">
        <v>211</v>
      </c>
      <c r="N24" s="231">
        <f>+IFERROR(VLOOKUP($M24,'11 FORMULAS'!$B$54:$C$55,2,0),"")</f>
        <v>0.15</v>
      </c>
      <c r="O24" s="233" t="s">
        <v>222</v>
      </c>
      <c r="P24" s="233" t="s">
        <v>289</v>
      </c>
      <c r="Q24" s="233" t="s">
        <v>203</v>
      </c>
      <c r="R24" s="233" t="s">
        <v>298</v>
      </c>
      <c r="S24" s="231">
        <f t="shared" si="1"/>
        <v>0.4</v>
      </c>
      <c r="T24" s="231">
        <f t="shared" si="2"/>
        <v>3.1104E-2</v>
      </c>
      <c r="U24" s="231">
        <f t="shared" si="3"/>
        <v>4.6655999999999996E-2</v>
      </c>
      <c r="V24" s="238"/>
      <c r="X24" s="239"/>
      <c r="Y24" s="247"/>
      <c r="Z24" s="247"/>
    </row>
    <row r="25" spans="1:26" ht="32.450000000000003" customHeight="1" thickBot="1" x14ac:dyDescent="0.3">
      <c r="A25" s="240"/>
      <c r="B25" s="182"/>
      <c r="C25" s="241"/>
      <c r="D25" s="242"/>
      <c r="E25" s="243">
        <v>6</v>
      </c>
      <c r="F25" s="183"/>
      <c r="G25" s="184"/>
      <c r="H25" s="184"/>
      <c r="I25" s="178" t="str">
        <f t="shared" si="0"/>
        <v xml:space="preserve">  </v>
      </c>
      <c r="J25" s="179"/>
      <c r="K25" s="231" t="str">
        <f>+IFERROR(VLOOKUP($J25,'11 FORMULAS'!$B$51:$C$53,2,0),"")</f>
        <v/>
      </c>
      <c r="L25" s="231" t="e">
        <f>+IF(J25="Preventivo","Probabilidad",IF(J25="Detectivo","Probabilidad",IF(#REF!="Correctivo","Impacto","")))</f>
        <v>#REF!</v>
      </c>
      <c r="M25" s="232"/>
      <c r="N25" s="231"/>
      <c r="O25" s="233"/>
      <c r="P25" s="233"/>
      <c r="Q25" s="233"/>
      <c r="R25" s="233"/>
      <c r="S25" s="231" t="str">
        <f t="shared" si="1"/>
        <v/>
      </c>
      <c r="T25" s="231" t="str">
        <f t="shared" ref="T25:T51" si="4">+IFERROR(C25*S25,"")</f>
        <v/>
      </c>
      <c r="U25" s="231" t="str">
        <f t="shared" ref="U25:U51" si="5">+IFERROR(S25-T25,"")</f>
        <v/>
      </c>
      <c r="V25" s="244"/>
    </row>
    <row r="26" spans="1:26" ht="32.450000000000003" customHeight="1" x14ac:dyDescent="0.25">
      <c r="A26" s="228" t="str">
        <f>'2 CONTEXTO E IDENTIFICACIÓN'!A12</f>
        <v>R4</v>
      </c>
      <c r="B26" s="175" t="str">
        <f>+'2 CONTEXTO E IDENTIFICACIÓN'!J12</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26" s="229">
        <f>+'3 PROBABIL E IMPACTO INHERENTE'!E12</f>
        <v>0.6</v>
      </c>
      <c r="D26" s="230">
        <f>+'3 PROBABIL E IMPACTO INHERENTE'!M12</f>
        <v>0.6</v>
      </c>
      <c r="E26" s="246">
        <v>1</v>
      </c>
      <c r="F26" s="176" t="s">
        <v>393</v>
      </c>
      <c r="G26" s="177" t="s">
        <v>403</v>
      </c>
      <c r="H26" s="177" t="s">
        <v>404</v>
      </c>
      <c r="I26" s="178" t="str">
        <f t="shared" si="0"/>
        <v>El(la) coordinador(a) del grupo interno de trabajo de gestión contractual y el equipo de trabajo. Velar porque los actos administrativos que se expidan a través del proceso Gestión contractual de la Agencia, se ajusten a la normatividad legal vigente. identificarse alguna novedad en el acto administrativo, informar al superior jerárquico y corregir o derogar el acto administrativo en cuestión.</v>
      </c>
      <c r="J26" s="179" t="s">
        <v>199</v>
      </c>
      <c r="K26" s="231">
        <f>+IFERROR(VLOOKUP($J26,'11 FORMULAS'!$B$51:$C$53,2,0),"")</f>
        <v>0.25</v>
      </c>
      <c r="L26" s="231" t="str">
        <f>+IF(J26="Preventivo","Probabilidad",IF(J26="Detectivo","Probabilidad",IF(#REF!="Correctivo","Impacto","")))</f>
        <v>Probabilidad</v>
      </c>
      <c r="M26" s="232" t="s">
        <v>211</v>
      </c>
      <c r="N26" s="231">
        <f>+IFERROR(VLOOKUP($M26,'11 FORMULAS'!$B$54:$C$55,2,0),"")</f>
        <v>0.15</v>
      </c>
      <c r="O26" s="233" t="s">
        <v>222</v>
      </c>
      <c r="P26" s="233" t="s">
        <v>286</v>
      </c>
      <c r="Q26" s="233" t="s">
        <v>203</v>
      </c>
      <c r="R26" s="233" t="s">
        <v>204</v>
      </c>
      <c r="S26" s="231">
        <f t="shared" si="1"/>
        <v>0.4</v>
      </c>
      <c r="T26" s="231">
        <f>+IFERROR(C26*S26,"")</f>
        <v>0.24</v>
      </c>
      <c r="U26" s="231">
        <f>+IFERROR(C26-T26,"")</f>
        <v>0.36</v>
      </c>
      <c r="V26" s="234" cm="1">
        <f t="array" ref="V26">LOOKUP(2,1/(U26:U31&lt;&gt;"")*U26:U31)</f>
        <v>0.36</v>
      </c>
      <c r="X26" s="239"/>
      <c r="Y26" s="247"/>
      <c r="Z26" s="247"/>
    </row>
    <row r="27" spans="1:26" ht="32.450000000000003" customHeight="1" x14ac:dyDescent="0.25">
      <c r="A27" s="235"/>
      <c r="B27" s="180"/>
      <c r="C27" s="236"/>
      <c r="D27" s="237"/>
      <c r="E27" s="178">
        <v>2</v>
      </c>
      <c r="F27" s="181"/>
      <c r="G27" s="179"/>
      <c r="H27" s="179"/>
      <c r="I27" s="178" t="str">
        <f t="shared" si="0"/>
        <v xml:space="preserve">  </v>
      </c>
      <c r="J27" s="179"/>
      <c r="K27" s="231" t="str">
        <f>+IFERROR(VLOOKUP($J27,'11 FORMULAS'!$B$51:$C$53,2,0),"")</f>
        <v/>
      </c>
      <c r="L27" s="231" t="e">
        <f>+IF(J27="Preventivo","Probabilidad",IF(J27="Detectivo","Probabilidad",IF(#REF!="Correctivo","Impacto","")))</f>
        <v>#REF!</v>
      </c>
      <c r="M27" s="232"/>
      <c r="N27" s="231" t="str">
        <f>+IFERROR(VLOOKUP($M27,'11 FORMULAS'!$B$54:$C$55,2,0),"")</f>
        <v/>
      </c>
      <c r="O27" s="233"/>
      <c r="P27" s="233"/>
      <c r="Q27" s="233"/>
      <c r="R27" s="233"/>
      <c r="S27" s="231" t="str">
        <f t="shared" si="1"/>
        <v/>
      </c>
      <c r="T27" s="231" t="str">
        <f t="shared" si="4"/>
        <v/>
      </c>
      <c r="U27" s="231" t="str">
        <f t="shared" si="5"/>
        <v/>
      </c>
      <c r="V27" s="238"/>
      <c r="X27" s="239"/>
      <c r="Y27" s="247"/>
      <c r="Z27" s="247"/>
    </row>
    <row r="28" spans="1:26" ht="32.450000000000003" customHeight="1" x14ac:dyDescent="0.25">
      <c r="A28" s="235"/>
      <c r="B28" s="180"/>
      <c r="C28" s="236"/>
      <c r="D28" s="237"/>
      <c r="E28" s="178">
        <v>3</v>
      </c>
      <c r="F28" s="181"/>
      <c r="G28" s="179"/>
      <c r="H28" s="179"/>
      <c r="I28" s="178" t="str">
        <f t="shared" si="0"/>
        <v xml:space="preserve">  </v>
      </c>
      <c r="J28" s="179"/>
      <c r="K28" s="231" t="str">
        <f>+IFERROR(VLOOKUP($J28,'11 FORMULAS'!$B$51:$C$53,2,0),"")</f>
        <v/>
      </c>
      <c r="L28" s="231" t="e">
        <f>+IF(J28="Preventivo","Probabilidad",IF(J28="Detectivo","Probabilidad",IF(#REF!="Correctivo","Impacto","")))</f>
        <v>#REF!</v>
      </c>
      <c r="M28" s="232"/>
      <c r="N28" s="231" t="str">
        <f>+IFERROR(VLOOKUP($M28,'11 FORMULAS'!$B$54:$C$55,2,0),"")</f>
        <v/>
      </c>
      <c r="O28" s="233"/>
      <c r="P28" s="233"/>
      <c r="Q28" s="233"/>
      <c r="R28" s="233"/>
      <c r="S28" s="231" t="str">
        <f t="shared" si="1"/>
        <v/>
      </c>
      <c r="T28" s="231" t="str">
        <f t="shared" si="4"/>
        <v/>
      </c>
      <c r="U28" s="231" t="str">
        <f t="shared" si="5"/>
        <v/>
      </c>
      <c r="V28" s="238"/>
      <c r="X28" s="239"/>
      <c r="Y28" s="247"/>
      <c r="Z28" s="247"/>
    </row>
    <row r="29" spans="1:26" ht="32.450000000000003" customHeight="1" x14ac:dyDescent="0.25">
      <c r="A29" s="235"/>
      <c r="B29" s="180"/>
      <c r="C29" s="236"/>
      <c r="D29" s="237"/>
      <c r="E29" s="178">
        <v>4</v>
      </c>
      <c r="F29" s="181"/>
      <c r="G29" s="179"/>
      <c r="H29" s="179"/>
      <c r="I29" s="178" t="str">
        <f t="shared" si="0"/>
        <v xml:space="preserve">  </v>
      </c>
      <c r="J29" s="179"/>
      <c r="K29" s="231" t="str">
        <f>+IFERROR(VLOOKUP($J29,'11 FORMULAS'!$B$51:$C$53,2,0),"")</f>
        <v/>
      </c>
      <c r="L29" s="231" t="e">
        <f>+IF(J29="Preventivo","Probabilidad",IF(J29="Detectivo","Probabilidad",IF(#REF!="Correctivo","Impacto","")))</f>
        <v>#REF!</v>
      </c>
      <c r="M29" s="232"/>
      <c r="N29" s="231" t="str">
        <f>+IFERROR(VLOOKUP($M29,'11 FORMULAS'!$B$54:$C$55,2,0),"")</f>
        <v/>
      </c>
      <c r="O29" s="233"/>
      <c r="P29" s="233"/>
      <c r="Q29" s="233"/>
      <c r="R29" s="233"/>
      <c r="S29" s="231" t="str">
        <f t="shared" si="1"/>
        <v/>
      </c>
      <c r="T29" s="231" t="str">
        <f t="shared" si="4"/>
        <v/>
      </c>
      <c r="U29" s="231" t="str">
        <f t="shared" si="5"/>
        <v/>
      </c>
      <c r="V29" s="238"/>
      <c r="X29" s="239"/>
      <c r="Y29" s="247"/>
      <c r="Z29" s="247"/>
    </row>
    <row r="30" spans="1:26" ht="32.450000000000003" customHeight="1" x14ac:dyDescent="0.25">
      <c r="A30" s="235"/>
      <c r="B30" s="180"/>
      <c r="C30" s="236"/>
      <c r="D30" s="237"/>
      <c r="E30" s="178">
        <v>5</v>
      </c>
      <c r="F30" s="181"/>
      <c r="G30" s="179"/>
      <c r="H30" s="179"/>
      <c r="I30" s="178" t="str">
        <f t="shared" si="0"/>
        <v xml:space="preserve">  </v>
      </c>
      <c r="J30" s="179"/>
      <c r="K30" s="231" t="str">
        <f>+IFERROR(VLOOKUP($J30,'11 FORMULAS'!$B$51:$C$53,2,0),"")</f>
        <v/>
      </c>
      <c r="L30" s="231" t="e">
        <f>+IF(J30="Preventivo","Probabilidad",IF(J30="Detectivo","Probabilidad",IF(#REF!="Correctivo","Impacto","")))</f>
        <v>#REF!</v>
      </c>
      <c r="M30" s="232"/>
      <c r="N30" s="231" t="str">
        <f>+IFERROR(VLOOKUP($M30,'11 FORMULAS'!$B$54:$C$55,2,0),"")</f>
        <v/>
      </c>
      <c r="O30" s="233"/>
      <c r="P30" s="233"/>
      <c r="Q30" s="233"/>
      <c r="R30" s="233"/>
      <c r="S30" s="231" t="str">
        <f t="shared" si="1"/>
        <v/>
      </c>
      <c r="T30" s="231" t="str">
        <f t="shared" si="4"/>
        <v/>
      </c>
      <c r="U30" s="231" t="str">
        <f t="shared" si="5"/>
        <v/>
      </c>
      <c r="V30" s="238"/>
      <c r="X30" s="239"/>
      <c r="Y30" s="247"/>
      <c r="Z30" s="247"/>
    </row>
    <row r="31" spans="1:26" ht="32.450000000000003" customHeight="1" thickBot="1" x14ac:dyDescent="0.3">
      <c r="A31" s="240"/>
      <c r="B31" s="182"/>
      <c r="C31" s="241"/>
      <c r="D31" s="242"/>
      <c r="E31" s="243">
        <v>6</v>
      </c>
      <c r="F31" s="183"/>
      <c r="G31" s="184"/>
      <c r="H31" s="184"/>
      <c r="I31" s="178" t="str">
        <f t="shared" si="0"/>
        <v xml:space="preserve">  </v>
      </c>
      <c r="J31" s="179"/>
      <c r="K31" s="231" t="str">
        <f>+IFERROR(VLOOKUP($J31,'11 FORMULAS'!$B$51:$C$53,2,0),"")</f>
        <v/>
      </c>
      <c r="L31" s="231" t="e">
        <f>+IF(J31="Preventivo","Probabilidad",IF(J31="Detectivo","Probabilidad",IF(#REF!="Correctivo","Impacto","")))</f>
        <v>#REF!</v>
      </c>
      <c r="M31" s="232"/>
      <c r="N31" s="231" t="str">
        <f>+IFERROR(VLOOKUP($M31,'11 FORMULAS'!$B$54:$C$55,2,0),"")</f>
        <v/>
      </c>
      <c r="O31" s="233"/>
      <c r="P31" s="233"/>
      <c r="Q31" s="233"/>
      <c r="R31" s="233"/>
      <c r="S31" s="231" t="str">
        <f t="shared" si="1"/>
        <v/>
      </c>
      <c r="T31" s="231" t="str">
        <f t="shared" si="4"/>
        <v/>
      </c>
      <c r="U31" s="231" t="str">
        <f t="shared" si="5"/>
        <v/>
      </c>
      <c r="V31" s="244"/>
    </row>
    <row r="32" spans="1:26" ht="32.450000000000003" customHeight="1" x14ac:dyDescent="0.25">
      <c r="A32" s="228" t="str">
        <f>'2 CONTEXTO E IDENTIFICACIÓN'!A13</f>
        <v>R5</v>
      </c>
      <c r="B32" s="175" t="str">
        <f>+'2 CONTEXTO E IDENTIFICACIÓN'!J13</f>
        <v>Posibilidad de afectación reputacional por pérdida de credibilidad en el ejercicio auditor. a causa de  de emitir conclusiones, recomendaciones, hallazgos erróneos u omisiones en las actividades de auditoría interna.</v>
      </c>
      <c r="C32" s="229">
        <f>+'3 PROBABIL E IMPACTO INHERENTE'!E13</f>
        <v>0.6</v>
      </c>
      <c r="D32" s="230">
        <f>+'3 PROBABIL E IMPACTO INHERENTE'!M13</f>
        <v>0.6</v>
      </c>
      <c r="E32" s="246">
        <v>1</v>
      </c>
      <c r="F32" s="176" t="s">
        <v>405</v>
      </c>
      <c r="G32" s="177" t="s">
        <v>406</v>
      </c>
      <c r="H32" s="177" t="s">
        <v>407</v>
      </c>
      <c r="I32" s="178" t="str">
        <f t="shared" si="0"/>
        <v xml:space="preserve">El(la) asesor(a) con funciones de control interno y el equipo auditor. Verificar que en la planeación de la auditoría e informes de ley, el objetivo, alcance y criterios contribuyan a la mejora del desempeño institucional. Se analiza la causa del incumplimiento y se reprograma, en el caso de auditorías, se solicita modificación del plan anual de auditoría ante el Comité institucional de coordinación de control interno. Se solicita al responsable de la auditoría o informe de ley mediante comunicación los ajustes que sean requweridos por el asesor con funciones de control interno. </v>
      </c>
      <c r="J32" s="179" t="s">
        <v>199</v>
      </c>
      <c r="K32" s="231">
        <f>+IFERROR(VLOOKUP($J32,'11 FORMULAS'!$B$51:$C$53,2,0),"")</f>
        <v>0.25</v>
      </c>
      <c r="L32" s="231" t="str">
        <f>+IF(J32="Preventivo","Probabilidad",IF(J32="Detectivo","Probabilidad",IF(#REF!="Correctivo","Impacto","")))</f>
        <v>Probabilidad</v>
      </c>
      <c r="M32" s="232" t="s">
        <v>211</v>
      </c>
      <c r="N32" s="231">
        <f>+IFERROR(VLOOKUP($M32,'11 FORMULAS'!$B$54:$C$55,2,0),"")</f>
        <v>0.15</v>
      </c>
      <c r="O32" s="233" t="s">
        <v>201</v>
      </c>
      <c r="P32" s="233" t="s">
        <v>289</v>
      </c>
      <c r="Q32" s="233" t="s">
        <v>203</v>
      </c>
      <c r="R32" s="233" t="s">
        <v>204</v>
      </c>
      <c r="S32" s="231">
        <f t="shared" si="1"/>
        <v>0.4</v>
      </c>
      <c r="T32" s="231">
        <f>+IFERROR(C32*S32,"")</f>
        <v>0.24</v>
      </c>
      <c r="U32" s="231">
        <f>+IFERROR(C32-T32,"")</f>
        <v>0.36</v>
      </c>
      <c r="V32" s="234" cm="1">
        <f t="array" ref="V32">LOOKUP(2,1/(U32:U37&lt;&gt;"")*U32:U37)</f>
        <v>0.36</v>
      </c>
      <c r="X32" s="239"/>
      <c r="Y32" s="247"/>
      <c r="Z32" s="247"/>
    </row>
    <row r="33" spans="1:26" ht="32.450000000000003" customHeight="1" x14ac:dyDescent="0.25">
      <c r="A33" s="252"/>
      <c r="B33" s="188"/>
      <c r="C33" s="253"/>
      <c r="D33" s="254"/>
      <c r="E33" s="178">
        <v>2</v>
      </c>
      <c r="F33" s="189"/>
      <c r="G33" s="190"/>
      <c r="H33" s="190"/>
      <c r="I33" s="178" t="str">
        <f t="shared" si="0"/>
        <v xml:space="preserve">  </v>
      </c>
      <c r="J33" s="179"/>
      <c r="K33" s="231" t="str">
        <f>+IFERROR(VLOOKUP($J33,'11 FORMULAS'!$B$51:$C$53,2,0),"")</f>
        <v/>
      </c>
      <c r="L33" s="231" t="e">
        <f>+IF(J33="Preventivo","Probabilidad",IF(J33="Detectivo","Probabilidad",IF(#REF!="Correctivo","Impacto","")))</f>
        <v>#REF!</v>
      </c>
      <c r="M33" s="232"/>
      <c r="N33" s="231" t="str">
        <f>+IFERROR(VLOOKUP($M33,'11 FORMULAS'!$B$54:$C$55,2,0),"")</f>
        <v/>
      </c>
      <c r="O33" s="233"/>
      <c r="P33" s="233"/>
      <c r="Q33" s="233"/>
      <c r="R33" s="233"/>
      <c r="S33" s="231" t="str">
        <f t="shared" si="1"/>
        <v/>
      </c>
      <c r="T33" s="231" t="str">
        <f t="shared" si="4"/>
        <v/>
      </c>
      <c r="U33" s="231" t="str">
        <f t="shared" si="5"/>
        <v/>
      </c>
      <c r="V33" s="238"/>
      <c r="X33" s="239"/>
      <c r="Y33" s="247"/>
      <c r="Z33" s="247"/>
    </row>
    <row r="34" spans="1:26" ht="32.450000000000003" customHeight="1" x14ac:dyDescent="0.25">
      <c r="A34" s="252"/>
      <c r="B34" s="188"/>
      <c r="C34" s="253"/>
      <c r="D34" s="254"/>
      <c r="E34" s="178">
        <v>3</v>
      </c>
      <c r="F34" s="189"/>
      <c r="G34" s="190"/>
      <c r="H34" s="190"/>
      <c r="I34" s="178" t="str">
        <f t="shared" si="0"/>
        <v xml:space="preserve">  </v>
      </c>
      <c r="J34" s="179"/>
      <c r="K34" s="231" t="str">
        <f>+IFERROR(VLOOKUP($J34,'11 FORMULAS'!$B$51:$C$53,2,0),"")</f>
        <v/>
      </c>
      <c r="L34" s="231" t="e">
        <f>+IF(J34="Preventivo","Probabilidad",IF(J34="Detectivo","Probabilidad",IF(#REF!="Correctivo","Impacto","")))</f>
        <v>#REF!</v>
      </c>
      <c r="M34" s="232"/>
      <c r="N34" s="231" t="str">
        <f>+IFERROR(VLOOKUP($M34,'11 FORMULAS'!$B$54:$C$55,2,0),"")</f>
        <v/>
      </c>
      <c r="O34" s="233"/>
      <c r="P34" s="233"/>
      <c r="Q34" s="233"/>
      <c r="R34" s="233"/>
      <c r="S34" s="231" t="str">
        <f t="shared" si="1"/>
        <v/>
      </c>
      <c r="T34" s="231" t="str">
        <f t="shared" si="4"/>
        <v/>
      </c>
      <c r="U34" s="231" t="str">
        <f t="shared" si="5"/>
        <v/>
      </c>
      <c r="V34" s="238"/>
      <c r="X34" s="239"/>
      <c r="Y34" s="247"/>
      <c r="Z34" s="247"/>
    </row>
    <row r="35" spans="1:26" ht="32.450000000000003" customHeight="1" x14ac:dyDescent="0.25">
      <c r="A35" s="235"/>
      <c r="B35" s="180"/>
      <c r="C35" s="236"/>
      <c r="D35" s="237"/>
      <c r="E35" s="178">
        <v>4</v>
      </c>
      <c r="F35" s="181"/>
      <c r="G35" s="179"/>
      <c r="H35" s="179"/>
      <c r="I35" s="178" t="str">
        <f t="shared" si="0"/>
        <v xml:space="preserve">  </v>
      </c>
      <c r="J35" s="179"/>
      <c r="K35" s="231" t="str">
        <f>+IFERROR(VLOOKUP($J35,'11 FORMULAS'!$B$51:$C$53,2,0),"")</f>
        <v/>
      </c>
      <c r="L35" s="231" t="e">
        <f>+IF(J35="Preventivo","Probabilidad",IF(J35="Detectivo","Probabilidad",IF(#REF!="Correctivo","Impacto","")))</f>
        <v>#REF!</v>
      </c>
      <c r="M35" s="232"/>
      <c r="N35" s="231" t="str">
        <f>+IFERROR(VLOOKUP($M35,'11 FORMULAS'!$B$54:$C$55,2,0),"")</f>
        <v/>
      </c>
      <c r="O35" s="233"/>
      <c r="P35" s="233"/>
      <c r="Q35" s="233"/>
      <c r="R35" s="233"/>
      <c r="S35" s="231" t="str">
        <f t="shared" si="1"/>
        <v/>
      </c>
      <c r="T35" s="231" t="str">
        <f t="shared" si="4"/>
        <v/>
      </c>
      <c r="U35" s="231" t="str">
        <f t="shared" si="5"/>
        <v/>
      </c>
      <c r="V35" s="238"/>
      <c r="X35" s="239"/>
      <c r="Y35" s="247"/>
      <c r="Z35" s="247"/>
    </row>
    <row r="36" spans="1:26" ht="32.450000000000003" customHeight="1" x14ac:dyDescent="0.25">
      <c r="A36" s="235"/>
      <c r="B36" s="180"/>
      <c r="C36" s="236"/>
      <c r="D36" s="237"/>
      <c r="E36" s="178">
        <v>5</v>
      </c>
      <c r="F36" s="181"/>
      <c r="G36" s="179"/>
      <c r="H36" s="179"/>
      <c r="I36" s="178" t="str">
        <f t="shared" si="0"/>
        <v xml:space="preserve">  </v>
      </c>
      <c r="J36" s="179"/>
      <c r="K36" s="231" t="str">
        <f>+IFERROR(VLOOKUP($J36,'11 FORMULAS'!$B$51:$C$53,2,0),"")</f>
        <v/>
      </c>
      <c r="L36" s="231" t="e">
        <f>+IF(J36="Preventivo","Probabilidad",IF(J36="Detectivo","Probabilidad",IF(#REF!="Correctivo","Impacto","")))</f>
        <v>#REF!</v>
      </c>
      <c r="M36" s="232"/>
      <c r="N36" s="231" t="str">
        <f>+IFERROR(VLOOKUP($M36,'11 FORMULAS'!$B$54:$C$55,2,0),"")</f>
        <v/>
      </c>
      <c r="O36" s="233"/>
      <c r="P36" s="233"/>
      <c r="Q36" s="233"/>
      <c r="R36" s="233"/>
      <c r="S36" s="231" t="str">
        <f t="shared" si="1"/>
        <v/>
      </c>
      <c r="T36" s="231" t="str">
        <f t="shared" si="4"/>
        <v/>
      </c>
      <c r="U36" s="231" t="str">
        <f t="shared" si="5"/>
        <v/>
      </c>
      <c r="V36" s="238"/>
      <c r="X36" s="239"/>
      <c r="Y36" s="247"/>
      <c r="Z36" s="247"/>
    </row>
    <row r="37" spans="1:26" ht="32.450000000000003" customHeight="1" thickBot="1" x14ac:dyDescent="0.3">
      <c r="A37" s="240"/>
      <c r="B37" s="182"/>
      <c r="C37" s="241"/>
      <c r="D37" s="242"/>
      <c r="E37" s="178">
        <v>6</v>
      </c>
      <c r="F37" s="183"/>
      <c r="G37" s="184"/>
      <c r="H37" s="184"/>
      <c r="I37" s="178" t="str">
        <f t="shared" si="0"/>
        <v xml:space="preserve">  </v>
      </c>
      <c r="J37" s="179"/>
      <c r="K37" s="231" t="str">
        <f>+IFERROR(VLOOKUP($J37,'11 FORMULAS'!$B$51:$C$53,2,0),"")</f>
        <v/>
      </c>
      <c r="L37" s="231" t="e">
        <f>+IF(J37="Preventivo","Probabilidad",IF(J37="Detectivo","Probabilidad",IF(#REF!="Correctivo","Impacto","")))</f>
        <v>#REF!</v>
      </c>
      <c r="M37" s="232"/>
      <c r="N37" s="231" t="str">
        <f>+IFERROR(VLOOKUP($M37,'11 FORMULAS'!$B$54:$C$55,2,0),"")</f>
        <v/>
      </c>
      <c r="O37" s="233"/>
      <c r="P37" s="233"/>
      <c r="Q37" s="233"/>
      <c r="R37" s="233"/>
      <c r="S37" s="231" t="str">
        <f t="shared" si="1"/>
        <v/>
      </c>
      <c r="T37" s="231" t="str">
        <f t="shared" si="4"/>
        <v/>
      </c>
      <c r="U37" s="231" t="str">
        <f t="shared" si="5"/>
        <v/>
      </c>
      <c r="V37" s="244"/>
    </row>
    <row r="38" spans="1:26" ht="32.450000000000003" customHeight="1" x14ac:dyDescent="0.25">
      <c r="A38" s="228" t="str">
        <f>'2 CONTEXTO E IDENTIFICACIÓN'!A14</f>
        <v>R6</v>
      </c>
      <c r="B38" s="175" t="str">
        <f>+'2 CONTEXTO E IDENTIFICACIÓN'!J14</f>
        <v>Posibilidad de afectación reputacional por la veracidad de la información a difundir. a causa de que las direcciones / dependencias entregan información parcial o sin confirmar y fuera de tiempos.</v>
      </c>
      <c r="C38" s="229">
        <f>+'3 PROBABIL E IMPACTO INHERENTE'!E14</f>
        <v>0.6</v>
      </c>
      <c r="D38" s="230">
        <f>+'3 PROBABIL E IMPACTO INHERENTE'!M14</f>
        <v>0.6</v>
      </c>
      <c r="E38" s="178">
        <v>1</v>
      </c>
      <c r="F38" s="176" t="s">
        <v>408</v>
      </c>
      <c r="G38" s="177" t="s">
        <v>409</v>
      </c>
      <c r="H38" s="177" t="s">
        <v>410</v>
      </c>
      <c r="I38" s="178" t="str">
        <f t="shared" si="0"/>
        <v>Responsable: El(la) asesor(a) de gestión de comunicaciones. Liderar el Comité Editorial en el que los integrantes del equipo son enlace para cada Dirección de la Agencia. Asimismo, se cuenta con el formato E-FO 053 que debe ser diligenciado por todos los procesos en el momento se solicitar el apoyo a Comunicaciones. Cuando aplique se realiza ajustes necesarios en la respectiva difusión.</v>
      </c>
      <c r="J38" s="179" t="s">
        <v>199</v>
      </c>
      <c r="K38" s="231">
        <f>+IFERROR(VLOOKUP($J38,'11 FORMULAS'!$B$51:$C$53,2,0),"")</f>
        <v>0.25</v>
      </c>
      <c r="L38" s="231" t="str">
        <f>+IF(J38="Preventivo","Probabilidad",IF(J38="Detectivo","Probabilidad",IF(#REF!="Correctivo","Impacto","")))</f>
        <v>Probabilidad</v>
      </c>
      <c r="M38" s="232" t="s">
        <v>211</v>
      </c>
      <c r="N38" s="231">
        <f>+IFERROR(VLOOKUP($M38,'11 FORMULAS'!$B$54:$C$55,2,0),"")</f>
        <v>0.15</v>
      </c>
      <c r="O38" s="233" t="s">
        <v>201</v>
      </c>
      <c r="P38" s="233" t="s">
        <v>289</v>
      </c>
      <c r="Q38" s="233" t="s">
        <v>203</v>
      </c>
      <c r="R38" s="233" t="s">
        <v>298</v>
      </c>
      <c r="S38" s="231">
        <f t="shared" si="1"/>
        <v>0.4</v>
      </c>
      <c r="T38" s="231">
        <f>+IFERROR(C38*S38,"")</f>
        <v>0.24</v>
      </c>
      <c r="U38" s="231">
        <f>+IFERROR(C38-T38,"")</f>
        <v>0.36</v>
      </c>
      <c r="V38" s="234" cm="1">
        <f t="array" ref="V38">LOOKUP(2,1/(U38:U43&lt;&gt;"")*U38:U43)</f>
        <v>0.36</v>
      </c>
      <c r="X38" s="239"/>
      <c r="Y38" s="247"/>
      <c r="Z38" s="247"/>
    </row>
    <row r="39" spans="1:26" ht="32.450000000000003" customHeight="1" x14ac:dyDescent="0.25">
      <c r="A39" s="252"/>
      <c r="B39" s="188"/>
      <c r="C39" s="253"/>
      <c r="D39" s="254"/>
      <c r="E39" s="178">
        <v>2</v>
      </c>
      <c r="F39" s="189"/>
      <c r="G39" s="190"/>
      <c r="H39" s="190"/>
      <c r="I39" s="178" t="str">
        <f t="shared" si="0"/>
        <v xml:space="preserve">  </v>
      </c>
      <c r="J39" s="179"/>
      <c r="K39" s="231" t="str">
        <f>+IFERROR(VLOOKUP($J39,'11 FORMULAS'!$B$51:$C$53,2,0),"")</f>
        <v/>
      </c>
      <c r="L39" s="231" t="e">
        <f>+IF(J39="Preventivo","Probabilidad",IF(J39="Detectivo","Probabilidad",IF(#REF!="Correctivo","Impacto","")))</f>
        <v>#REF!</v>
      </c>
      <c r="M39" s="232"/>
      <c r="N39" s="231" t="str">
        <f>+IFERROR(VLOOKUP($M39,'11 FORMULAS'!$B$54:$C$55,2,0),"")</f>
        <v/>
      </c>
      <c r="O39" s="233"/>
      <c r="P39" s="233"/>
      <c r="Q39" s="233"/>
      <c r="R39" s="233"/>
      <c r="S39" s="231" t="str">
        <f t="shared" si="1"/>
        <v/>
      </c>
      <c r="T39" s="231" t="str">
        <f t="shared" si="4"/>
        <v/>
      </c>
      <c r="U39" s="231" t="str">
        <f t="shared" si="5"/>
        <v/>
      </c>
      <c r="V39" s="238"/>
      <c r="X39" s="239"/>
      <c r="Y39" s="247"/>
      <c r="Z39" s="247"/>
    </row>
    <row r="40" spans="1:26" ht="32.450000000000003" customHeight="1" x14ac:dyDescent="0.25">
      <c r="A40" s="252"/>
      <c r="B40" s="188"/>
      <c r="C40" s="253"/>
      <c r="D40" s="254"/>
      <c r="E40" s="178">
        <v>3</v>
      </c>
      <c r="F40" s="189"/>
      <c r="G40" s="190"/>
      <c r="H40" s="190"/>
      <c r="I40" s="178" t="str">
        <f t="shared" si="0"/>
        <v xml:space="preserve">  </v>
      </c>
      <c r="J40" s="179"/>
      <c r="K40" s="231" t="str">
        <f>+IFERROR(VLOOKUP($J40,'11 FORMULAS'!$B$51:$C$53,2,0),"")</f>
        <v/>
      </c>
      <c r="L40" s="231" t="e">
        <f>+IF(J40="Preventivo","Probabilidad",IF(J40="Detectivo","Probabilidad",IF(#REF!="Correctivo","Impacto","")))</f>
        <v>#REF!</v>
      </c>
      <c r="M40" s="232"/>
      <c r="N40" s="231" t="str">
        <f>+IFERROR(VLOOKUP($M40,'11 FORMULAS'!$B$54:$C$55,2,0),"")</f>
        <v/>
      </c>
      <c r="O40" s="233"/>
      <c r="P40" s="233"/>
      <c r="Q40" s="233"/>
      <c r="R40" s="233"/>
      <c r="S40" s="231" t="str">
        <f t="shared" ref="S40:S71" si="6">+IFERROR($K40+$N40,"")</f>
        <v/>
      </c>
      <c r="T40" s="231" t="str">
        <f t="shared" si="4"/>
        <v/>
      </c>
      <c r="U40" s="231" t="str">
        <f t="shared" si="5"/>
        <v/>
      </c>
      <c r="V40" s="238"/>
      <c r="X40" s="239"/>
      <c r="Y40" s="247"/>
      <c r="Z40" s="247"/>
    </row>
    <row r="41" spans="1:26" ht="32.450000000000003" customHeight="1" x14ac:dyDescent="0.25">
      <c r="A41" s="235"/>
      <c r="B41" s="180"/>
      <c r="C41" s="236"/>
      <c r="D41" s="237"/>
      <c r="E41" s="178">
        <v>4</v>
      </c>
      <c r="F41" s="181"/>
      <c r="G41" s="179"/>
      <c r="H41" s="179"/>
      <c r="I41" s="178" t="str">
        <f t="shared" si="0"/>
        <v xml:space="preserve">  </v>
      </c>
      <c r="J41" s="179"/>
      <c r="K41" s="231" t="str">
        <f>+IFERROR(VLOOKUP($J41,'11 FORMULAS'!$B$51:$C$53,2,0),"")</f>
        <v/>
      </c>
      <c r="L41" s="231" t="e">
        <f>+IF(J41="Preventivo","Probabilidad",IF(J41="Detectivo","Probabilidad",IF(#REF!="Correctivo","Impacto","")))</f>
        <v>#REF!</v>
      </c>
      <c r="M41" s="232"/>
      <c r="N41" s="231" t="str">
        <f>+IFERROR(VLOOKUP($M41,'11 FORMULAS'!$B$54:$C$55,2,0),"")</f>
        <v/>
      </c>
      <c r="O41" s="233"/>
      <c r="P41" s="233"/>
      <c r="Q41" s="233"/>
      <c r="R41" s="233"/>
      <c r="S41" s="231" t="str">
        <f t="shared" si="6"/>
        <v/>
      </c>
      <c r="T41" s="231" t="str">
        <f t="shared" si="4"/>
        <v/>
      </c>
      <c r="U41" s="231" t="str">
        <f t="shared" si="5"/>
        <v/>
      </c>
      <c r="V41" s="238"/>
      <c r="X41" s="239"/>
      <c r="Y41" s="247"/>
      <c r="Z41" s="247"/>
    </row>
    <row r="42" spans="1:26" ht="32.450000000000003" customHeight="1" x14ac:dyDescent="0.25">
      <c r="A42" s="235"/>
      <c r="B42" s="180"/>
      <c r="C42" s="236"/>
      <c r="D42" s="237"/>
      <c r="E42" s="178">
        <v>5</v>
      </c>
      <c r="F42" s="181"/>
      <c r="G42" s="179"/>
      <c r="H42" s="179"/>
      <c r="I42" s="178" t="str">
        <f t="shared" si="0"/>
        <v xml:space="preserve">  </v>
      </c>
      <c r="J42" s="179"/>
      <c r="K42" s="231" t="str">
        <f>+IFERROR(VLOOKUP($J42,'11 FORMULAS'!$B$51:$C$53,2,0),"")</f>
        <v/>
      </c>
      <c r="L42" s="231" t="e">
        <f>+IF(J42="Preventivo","Probabilidad",IF(J42="Detectivo","Probabilidad",IF(#REF!="Correctivo","Impacto","")))</f>
        <v>#REF!</v>
      </c>
      <c r="M42" s="232"/>
      <c r="N42" s="231" t="str">
        <f>+IFERROR(VLOOKUP($M42,'11 FORMULAS'!$B$54:$C$55,2,0),"")</f>
        <v/>
      </c>
      <c r="O42" s="233"/>
      <c r="P42" s="233"/>
      <c r="Q42" s="233"/>
      <c r="R42" s="233"/>
      <c r="S42" s="231" t="str">
        <f t="shared" si="6"/>
        <v/>
      </c>
      <c r="T42" s="231" t="str">
        <f t="shared" si="4"/>
        <v/>
      </c>
      <c r="U42" s="231" t="str">
        <f t="shared" si="5"/>
        <v/>
      </c>
      <c r="V42" s="238"/>
      <c r="X42" s="239"/>
      <c r="Y42" s="247"/>
      <c r="Z42" s="247"/>
    </row>
    <row r="43" spans="1:26" ht="32.450000000000003" customHeight="1" thickBot="1" x14ac:dyDescent="0.3">
      <c r="A43" s="240"/>
      <c r="B43" s="182"/>
      <c r="C43" s="241"/>
      <c r="D43" s="242"/>
      <c r="E43" s="243">
        <v>6</v>
      </c>
      <c r="F43" s="183"/>
      <c r="G43" s="184"/>
      <c r="H43" s="184"/>
      <c r="I43" s="178" t="str">
        <f t="shared" si="0"/>
        <v xml:space="preserve">  </v>
      </c>
      <c r="J43" s="179"/>
      <c r="K43" s="231" t="str">
        <f>+IFERROR(VLOOKUP($J43,'11 FORMULAS'!$B$51:$C$53,2,0),"")</f>
        <v/>
      </c>
      <c r="L43" s="231" t="e">
        <f>+IF(J43="Preventivo","Probabilidad",IF(J43="Detectivo","Probabilidad",IF(#REF!="Correctivo","Impacto","")))</f>
        <v>#REF!</v>
      </c>
      <c r="M43" s="232"/>
      <c r="N43" s="231" t="str">
        <f>+IFERROR(VLOOKUP($M43,'11 FORMULAS'!$B$54:$C$55,2,0),"")</f>
        <v/>
      </c>
      <c r="O43" s="233"/>
      <c r="P43" s="233"/>
      <c r="Q43" s="233"/>
      <c r="R43" s="233"/>
      <c r="S43" s="231" t="str">
        <f t="shared" si="6"/>
        <v/>
      </c>
      <c r="T43" s="231" t="str">
        <f t="shared" si="4"/>
        <v/>
      </c>
      <c r="U43" s="231" t="str">
        <f t="shared" si="5"/>
        <v/>
      </c>
      <c r="V43" s="244"/>
    </row>
    <row r="44" spans="1:26" ht="32.450000000000003" customHeight="1" x14ac:dyDescent="0.25">
      <c r="A44" s="228" t="str">
        <f>'2 CONTEXTO E IDENTIFICACIÓN'!A15</f>
        <v>R7</v>
      </c>
      <c r="B44" s="175" t="str">
        <f>+'2 CONTEXTO E IDENTIFICACIÓN'!J15</f>
        <v>Posibilidad de afectación reputacional por gestión del conflicto a causa de  la matriz de levantamiento de activos.</v>
      </c>
      <c r="C44" s="229">
        <f>+'3 PROBABIL E IMPACTO INHERENTE'!E15</f>
        <v>0.4</v>
      </c>
      <c r="D44" s="230">
        <f>+'3 PROBABIL E IMPACTO INHERENTE'!M15</f>
        <v>0.4</v>
      </c>
      <c r="E44" s="246">
        <v>1</v>
      </c>
      <c r="F44" s="176" t="s">
        <v>411</v>
      </c>
      <c r="G44" s="177" t="s">
        <v>412</v>
      </c>
      <c r="H44" s="177" t="s">
        <v>413</v>
      </c>
      <c r="I44" s="178" t="str">
        <f t="shared" si="0"/>
        <v>El(la) asesor(a) con funciones de gestión jurídica.   Hacer seguimiento a la aplicación de la estrategía de defensa a cargo del abogado apoderado.  Se analiza la causa de la no aplicación de la estategia de defensa y se informa al comité de conciliación para que este emita recomendaciones.</v>
      </c>
      <c r="J44" s="179" t="s">
        <v>199</v>
      </c>
      <c r="K44" s="231">
        <f>+IFERROR(VLOOKUP($J44,'11 FORMULAS'!$B$51:$C$53,2,0),"")</f>
        <v>0.25</v>
      </c>
      <c r="L44" s="231" t="str">
        <f>+IF(J44="Preventivo","Probabilidad",IF(J44="Detectivo","Probabilidad",IF(#REF!="Correctivo","Impacto","")))</f>
        <v>Probabilidad</v>
      </c>
      <c r="M44" s="232" t="s">
        <v>211</v>
      </c>
      <c r="N44" s="231">
        <f>+IFERROR(VLOOKUP($M44,'11 FORMULAS'!$B$54:$C$55,2,0),"")</f>
        <v>0.15</v>
      </c>
      <c r="O44" s="233" t="s">
        <v>222</v>
      </c>
      <c r="P44" s="233" t="s">
        <v>292</v>
      </c>
      <c r="Q44" s="233" t="s">
        <v>203</v>
      </c>
      <c r="R44" s="233" t="s">
        <v>204</v>
      </c>
      <c r="S44" s="231">
        <f t="shared" si="6"/>
        <v>0.4</v>
      </c>
      <c r="T44" s="231">
        <f>+IFERROR(C44*S44,"")</f>
        <v>0.16000000000000003</v>
      </c>
      <c r="U44" s="231">
        <f>+IFERROR(C44-T44,"")</f>
        <v>0.24</v>
      </c>
      <c r="V44" s="234" cm="1">
        <f t="array" ref="V44">LOOKUP(2,1/(U44:U49&lt;&gt;"")*U44:U49)</f>
        <v>0.24</v>
      </c>
      <c r="X44" s="239"/>
      <c r="Y44" s="247"/>
      <c r="Z44" s="247"/>
    </row>
    <row r="45" spans="1:26" ht="32.450000000000003" customHeight="1" x14ac:dyDescent="0.25">
      <c r="A45" s="235"/>
      <c r="B45" s="180"/>
      <c r="C45" s="236"/>
      <c r="D45" s="237"/>
      <c r="E45" s="178">
        <v>2</v>
      </c>
      <c r="F45" s="181"/>
      <c r="G45" s="179"/>
      <c r="H45" s="179"/>
      <c r="I45" s="178" t="str">
        <f t="shared" si="0"/>
        <v xml:space="preserve">  </v>
      </c>
      <c r="J45" s="179"/>
      <c r="K45" s="231" t="str">
        <f>+IFERROR(VLOOKUP($J45,'11 FORMULAS'!$B$51:$C$53,2,0),"")</f>
        <v/>
      </c>
      <c r="L45" s="231" t="e">
        <f>+IF(J45="Preventivo","Probabilidad",IF(J45="Detectivo","Probabilidad",IF(#REF!="Correctivo","Impacto","")))</f>
        <v>#REF!</v>
      </c>
      <c r="M45" s="232"/>
      <c r="N45" s="231" t="str">
        <f>+IFERROR(VLOOKUP($M45,'11 FORMULAS'!$B$54:$C$55,2,0),"")</f>
        <v/>
      </c>
      <c r="O45" s="233"/>
      <c r="P45" s="233"/>
      <c r="Q45" s="233"/>
      <c r="R45" s="233"/>
      <c r="S45" s="231" t="str">
        <f t="shared" si="6"/>
        <v/>
      </c>
      <c r="T45" s="231" t="str">
        <f t="shared" si="4"/>
        <v/>
      </c>
      <c r="U45" s="231" t="str">
        <f t="shared" si="5"/>
        <v/>
      </c>
      <c r="V45" s="238"/>
      <c r="X45" s="239"/>
      <c r="Y45" s="247"/>
      <c r="Z45" s="247"/>
    </row>
    <row r="46" spans="1:26" ht="32.450000000000003" customHeight="1" x14ac:dyDescent="0.25">
      <c r="A46" s="235"/>
      <c r="B46" s="180"/>
      <c r="C46" s="236"/>
      <c r="D46" s="237"/>
      <c r="E46" s="178">
        <v>3</v>
      </c>
      <c r="F46" s="181"/>
      <c r="G46" s="179"/>
      <c r="H46" s="179"/>
      <c r="I46" s="178" t="str">
        <f t="shared" si="0"/>
        <v xml:space="preserve">  </v>
      </c>
      <c r="J46" s="179"/>
      <c r="K46" s="231" t="str">
        <f>+IFERROR(VLOOKUP($J46,'11 FORMULAS'!$B$51:$C$53,2,0),"")</f>
        <v/>
      </c>
      <c r="L46" s="231" t="e">
        <f>+IF(J46="Preventivo","Probabilidad",IF(J46="Detectivo","Probabilidad",IF(#REF!="Correctivo","Impacto","")))</f>
        <v>#REF!</v>
      </c>
      <c r="M46" s="232"/>
      <c r="N46" s="231" t="str">
        <f>+IFERROR(VLOOKUP($M46,'11 FORMULAS'!$B$54:$C$55,2,0),"")</f>
        <v/>
      </c>
      <c r="O46" s="233"/>
      <c r="P46" s="233"/>
      <c r="Q46" s="233"/>
      <c r="R46" s="233"/>
      <c r="S46" s="231" t="str">
        <f t="shared" si="6"/>
        <v/>
      </c>
      <c r="T46" s="231" t="str">
        <f t="shared" si="4"/>
        <v/>
      </c>
      <c r="U46" s="231" t="str">
        <f t="shared" si="5"/>
        <v/>
      </c>
      <c r="V46" s="238"/>
      <c r="X46" s="239"/>
      <c r="Y46" s="247"/>
      <c r="Z46" s="247"/>
    </row>
    <row r="47" spans="1:26" ht="32.450000000000003" customHeight="1" x14ac:dyDescent="0.25">
      <c r="A47" s="235"/>
      <c r="B47" s="180"/>
      <c r="C47" s="236"/>
      <c r="D47" s="237"/>
      <c r="E47" s="178">
        <v>4</v>
      </c>
      <c r="F47" s="181"/>
      <c r="G47" s="179"/>
      <c r="H47" s="179"/>
      <c r="I47" s="178" t="str">
        <f t="shared" si="0"/>
        <v xml:space="preserve">  </v>
      </c>
      <c r="J47" s="179"/>
      <c r="K47" s="231" t="str">
        <f>+IFERROR(VLOOKUP($J47,'11 FORMULAS'!$B$51:$C$53,2,0),"")</f>
        <v/>
      </c>
      <c r="L47" s="231" t="e">
        <f>+IF(J47="Preventivo","Probabilidad",IF(J47="Detectivo","Probabilidad",IF(#REF!="Correctivo","Impacto","")))</f>
        <v>#REF!</v>
      </c>
      <c r="M47" s="232"/>
      <c r="N47" s="231" t="str">
        <f>+IFERROR(VLOOKUP($M47,'11 FORMULAS'!$B$54:$C$55,2,0),"")</f>
        <v/>
      </c>
      <c r="O47" s="233"/>
      <c r="P47" s="233"/>
      <c r="Q47" s="233"/>
      <c r="R47" s="233"/>
      <c r="S47" s="231" t="str">
        <f t="shared" si="6"/>
        <v/>
      </c>
      <c r="T47" s="231" t="str">
        <f t="shared" si="4"/>
        <v/>
      </c>
      <c r="U47" s="231" t="str">
        <f t="shared" si="5"/>
        <v/>
      </c>
      <c r="V47" s="238"/>
      <c r="X47" s="239"/>
      <c r="Y47" s="247"/>
      <c r="Z47" s="247"/>
    </row>
    <row r="48" spans="1:26" ht="32.450000000000003" customHeight="1" x14ac:dyDescent="0.25">
      <c r="A48" s="235"/>
      <c r="B48" s="180"/>
      <c r="C48" s="236"/>
      <c r="D48" s="237"/>
      <c r="E48" s="178">
        <v>5</v>
      </c>
      <c r="F48" s="181"/>
      <c r="G48" s="179"/>
      <c r="H48" s="179"/>
      <c r="I48" s="178" t="str">
        <f t="shared" si="0"/>
        <v xml:space="preserve">  </v>
      </c>
      <c r="J48" s="179"/>
      <c r="K48" s="231" t="str">
        <f>+IFERROR(VLOOKUP($J48,'11 FORMULAS'!$B$51:$C$53,2,0),"")</f>
        <v/>
      </c>
      <c r="L48" s="231" t="e">
        <f>+IF(J48="Preventivo","Probabilidad",IF(J48="Detectivo","Probabilidad",IF(#REF!="Correctivo","Impacto","")))</f>
        <v>#REF!</v>
      </c>
      <c r="M48" s="232"/>
      <c r="N48" s="231" t="str">
        <f>+IFERROR(VLOOKUP($M48,'11 FORMULAS'!$B$54:$C$55,2,0),"")</f>
        <v/>
      </c>
      <c r="O48" s="233"/>
      <c r="P48" s="233"/>
      <c r="Q48" s="233"/>
      <c r="R48" s="233"/>
      <c r="S48" s="231" t="str">
        <f t="shared" si="6"/>
        <v/>
      </c>
      <c r="T48" s="231" t="str">
        <f t="shared" si="4"/>
        <v/>
      </c>
      <c r="U48" s="231" t="str">
        <f t="shared" si="5"/>
        <v/>
      </c>
      <c r="V48" s="238"/>
      <c r="X48" s="239"/>
      <c r="Y48" s="247"/>
      <c r="Z48" s="247"/>
    </row>
    <row r="49" spans="1:26" ht="32.450000000000003" customHeight="1" thickBot="1" x14ac:dyDescent="0.3">
      <c r="A49" s="240"/>
      <c r="B49" s="182"/>
      <c r="C49" s="241"/>
      <c r="D49" s="242"/>
      <c r="E49" s="243">
        <v>6</v>
      </c>
      <c r="F49" s="183"/>
      <c r="G49" s="184"/>
      <c r="H49" s="184"/>
      <c r="I49" s="178" t="str">
        <f t="shared" si="0"/>
        <v xml:space="preserve">  </v>
      </c>
      <c r="J49" s="179"/>
      <c r="K49" s="231" t="str">
        <f>+IFERROR(VLOOKUP($J49,'11 FORMULAS'!$B$51:$C$53,2,0),"")</f>
        <v/>
      </c>
      <c r="L49" s="231" t="e">
        <f>+IF(J49="Preventivo","Probabilidad",IF(J49="Detectivo","Probabilidad",IF(#REF!="Correctivo","Impacto","")))</f>
        <v>#REF!</v>
      </c>
      <c r="M49" s="232"/>
      <c r="N49" s="231" t="str">
        <f>+IFERROR(VLOOKUP($M49,'11 FORMULAS'!$B$54:$C$55,2,0),"")</f>
        <v/>
      </c>
      <c r="O49" s="233"/>
      <c r="P49" s="233"/>
      <c r="Q49" s="233"/>
      <c r="R49" s="233"/>
      <c r="S49" s="231" t="str">
        <f t="shared" si="6"/>
        <v/>
      </c>
      <c r="T49" s="231" t="str">
        <f t="shared" si="4"/>
        <v/>
      </c>
      <c r="U49" s="231" t="str">
        <f t="shared" si="5"/>
        <v/>
      </c>
      <c r="V49" s="244"/>
    </row>
    <row r="50" spans="1:26" ht="32.450000000000003" customHeight="1" x14ac:dyDescent="0.25">
      <c r="A50" s="228" t="str">
        <f>'2 CONTEXTO E IDENTIFICACIÓN'!A16</f>
        <v>R8</v>
      </c>
      <c r="B50" s="175" t="str">
        <f>+'2 CONTEXTO E IDENTIFICACIÓN'!J16</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C50" s="229">
        <f>+'3 PROBABIL E IMPACTO INHERENTE'!E16</f>
        <v>0.6</v>
      </c>
      <c r="D50" s="230">
        <f>+'3 PROBABIL E IMPACTO INHERENTE'!M16</f>
        <v>0.6</v>
      </c>
      <c r="E50" s="246">
        <v>1</v>
      </c>
      <c r="F50" s="176" t="s">
        <v>414</v>
      </c>
      <c r="G50" s="177" t="s">
        <v>415</v>
      </c>
      <c r="H50" s="177" t="s">
        <v>416</v>
      </c>
      <c r="I50" s="178" t="str">
        <f t="shared" si="0"/>
        <v>El cuentadante de la caja menor. Aplicar los lineamientos establecidos por la Agencia para la administración de la caja menor. Reportar al respectivo superior jerárquico de la Agencia, el estado de la administración  de la caja menor.</v>
      </c>
      <c r="J50" s="179" t="s">
        <v>199</v>
      </c>
      <c r="K50" s="231">
        <f>+IFERROR(VLOOKUP($J50,'11 FORMULAS'!$B$51:$C$53,2,0),"")</f>
        <v>0.25</v>
      </c>
      <c r="L50" s="231" t="str">
        <f>+IF(J50="Preventivo","Probabilidad",IF(J50="Detectivo","Probabilidad",IF(#REF!="Correctivo","Impacto","")))</f>
        <v>Probabilidad</v>
      </c>
      <c r="M50" s="232" t="s">
        <v>211</v>
      </c>
      <c r="N50" s="231">
        <f>+IFERROR(VLOOKUP($M50,'11 FORMULAS'!$B$54:$C$55,2,0),"")</f>
        <v>0.15</v>
      </c>
      <c r="O50" s="233" t="s">
        <v>201</v>
      </c>
      <c r="P50" s="233" t="s">
        <v>289</v>
      </c>
      <c r="Q50" s="233" t="s">
        <v>203</v>
      </c>
      <c r="R50" s="233" t="s">
        <v>204</v>
      </c>
      <c r="S50" s="231">
        <f t="shared" si="6"/>
        <v>0.4</v>
      </c>
      <c r="T50" s="231">
        <f>+IFERROR(C50*S50,"")</f>
        <v>0.24</v>
      </c>
      <c r="U50" s="231">
        <f>+IFERROR(C50-T50,"")</f>
        <v>0.36</v>
      </c>
      <c r="V50" s="234" cm="1">
        <f t="array" ref="V50">LOOKUP(2,1/(U50:U55&lt;&gt;"")*U50:U55)</f>
        <v>0.36</v>
      </c>
      <c r="X50" s="239"/>
      <c r="Y50" s="247"/>
      <c r="Z50" s="247"/>
    </row>
    <row r="51" spans="1:26" ht="32.450000000000003" customHeight="1" x14ac:dyDescent="0.25">
      <c r="A51" s="235"/>
      <c r="B51" s="180"/>
      <c r="C51" s="236"/>
      <c r="D51" s="237"/>
      <c r="E51" s="178">
        <v>2</v>
      </c>
      <c r="F51" s="181"/>
      <c r="G51" s="179"/>
      <c r="H51" s="179"/>
      <c r="I51" s="178" t="str">
        <f t="shared" si="0"/>
        <v xml:space="preserve">  </v>
      </c>
      <c r="J51" s="179"/>
      <c r="K51" s="231" t="str">
        <f>+IFERROR(VLOOKUP($J51,'11 FORMULAS'!$B$51:$C$53,2,0),"")</f>
        <v/>
      </c>
      <c r="L51" s="231" t="e">
        <f>+IF(J51="Preventivo","Probabilidad",IF(J51="Detectivo","Probabilidad",IF(#REF!="Correctivo","Impacto","")))</f>
        <v>#REF!</v>
      </c>
      <c r="M51" s="232"/>
      <c r="N51" s="231" t="str">
        <f>+IFERROR(VLOOKUP($M51,'11 FORMULAS'!$B$54:$C$55,2,0),"")</f>
        <v/>
      </c>
      <c r="O51" s="233"/>
      <c r="P51" s="233"/>
      <c r="Q51" s="233"/>
      <c r="R51" s="233"/>
      <c r="S51" s="231" t="str">
        <f t="shared" si="6"/>
        <v/>
      </c>
      <c r="T51" s="231" t="str">
        <f t="shared" si="4"/>
        <v/>
      </c>
      <c r="U51" s="231" t="str">
        <f t="shared" si="5"/>
        <v/>
      </c>
      <c r="V51" s="238"/>
      <c r="X51" s="239"/>
      <c r="Y51" s="247"/>
      <c r="Z51" s="247"/>
    </row>
    <row r="52" spans="1:26" ht="32.450000000000003" customHeight="1" x14ac:dyDescent="0.25">
      <c r="A52" s="235"/>
      <c r="B52" s="180"/>
      <c r="C52" s="236"/>
      <c r="D52" s="237"/>
      <c r="E52" s="178">
        <v>3</v>
      </c>
      <c r="F52" s="181"/>
      <c r="G52" s="179"/>
      <c r="H52" s="179"/>
      <c r="I52" s="178" t="str">
        <f t="shared" si="0"/>
        <v xml:space="preserve">  </v>
      </c>
      <c r="J52" s="179"/>
      <c r="K52" s="231" t="str">
        <f>+IFERROR(VLOOKUP($J52,'11 FORMULAS'!$B$51:$C$53,2,0),"")</f>
        <v/>
      </c>
      <c r="L52" s="231" t="e">
        <f>+IF(J52="Preventivo","Probabilidad",IF(J52="Detectivo","Probabilidad",IF(#REF!="Correctivo","Impacto","")))</f>
        <v>#REF!</v>
      </c>
      <c r="M52" s="232"/>
      <c r="N52" s="231" t="str">
        <f>+IFERROR(VLOOKUP($M52,'11 FORMULAS'!$B$54:$C$55,2,0),"")</f>
        <v/>
      </c>
      <c r="O52" s="233"/>
      <c r="P52" s="233"/>
      <c r="Q52" s="233"/>
      <c r="R52" s="233"/>
      <c r="S52" s="231" t="str">
        <f t="shared" si="6"/>
        <v/>
      </c>
      <c r="T52" s="231" t="str">
        <f t="shared" ref="T52:T83" si="7">+IFERROR(C52*S52,"")</f>
        <v/>
      </c>
      <c r="U52" s="231" t="str">
        <f t="shared" ref="U52:U83" si="8">+IFERROR(S52-T52,"")</f>
        <v/>
      </c>
      <c r="V52" s="238"/>
      <c r="X52" s="239"/>
      <c r="Y52" s="247"/>
      <c r="Z52" s="247"/>
    </row>
    <row r="53" spans="1:26" ht="32.450000000000003" customHeight="1" x14ac:dyDescent="0.25">
      <c r="A53" s="235"/>
      <c r="B53" s="180"/>
      <c r="C53" s="236"/>
      <c r="D53" s="237"/>
      <c r="E53" s="178">
        <v>4</v>
      </c>
      <c r="F53" s="181"/>
      <c r="G53" s="179"/>
      <c r="H53" s="179"/>
      <c r="I53" s="178" t="str">
        <f t="shared" si="0"/>
        <v xml:space="preserve">  </v>
      </c>
      <c r="J53" s="179"/>
      <c r="K53" s="231" t="str">
        <f>+IFERROR(VLOOKUP($J53,'11 FORMULAS'!$B$51:$C$53,2,0),"")</f>
        <v/>
      </c>
      <c r="L53" s="231" t="e">
        <f>+IF(J53="Preventivo","Probabilidad",IF(J53="Detectivo","Probabilidad",IF(#REF!="Correctivo","Impacto","")))</f>
        <v>#REF!</v>
      </c>
      <c r="M53" s="232"/>
      <c r="N53" s="231" t="str">
        <f>+IFERROR(VLOOKUP($M53,'11 FORMULAS'!$B$54:$C$55,2,0),"")</f>
        <v/>
      </c>
      <c r="O53" s="233"/>
      <c r="P53" s="233"/>
      <c r="Q53" s="233"/>
      <c r="R53" s="233"/>
      <c r="S53" s="231" t="str">
        <f t="shared" si="6"/>
        <v/>
      </c>
      <c r="T53" s="231" t="str">
        <f t="shared" si="7"/>
        <v/>
      </c>
      <c r="U53" s="231" t="str">
        <f t="shared" si="8"/>
        <v/>
      </c>
      <c r="V53" s="238"/>
      <c r="X53" s="239"/>
      <c r="Y53" s="247"/>
      <c r="Z53" s="247"/>
    </row>
    <row r="54" spans="1:26" ht="32.450000000000003" customHeight="1" x14ac:dyDescent="0.25">
      <c r="A54" s="235"/>
      <c r="B54" s="180"/>
      <c r="C54" s="236"/>
      <c r="D54" s="237"/>
      <c r="E54" s="178">
        <v>5</v>
      </c>
      <c r="F54" s="181"/>
      <c r="G54" s="179"/>
      <c r="H54" s="179"/>
      <c r="I54" s="178" t="str">
        <f t="shared" si="0"/>
        <v xml:space="preserve">  </v>
      </c>
      <c r="J54" s="179"/>
      <c r="K54" s="231" t="str">
        <f>+IFERROR(VLOOKUP($J54,'11 FORMULAS'!$B$51:$C$53,2,0),"")</f>
        <v/>
      </c>
      <c r="L54" s="231" t="e">
        <f>+IF(J54="Preventivo","Probabilidad",IF(J54="Detectivo","Probabilidad",IF(#REF!="Correctivo","Impacto","")))</f>
        <v>#REF!</v>
      </c>
      <c r="M54" s="232"/>
      <c r="N54" s="231" t="str">
        <f>+IFERROR(VLOOKUP($M54,'11 FORMULAS'!$B$54:$C$55,2,0),"")</f>
        <v/>
      </c>
      <c r="O54" s="233"/>
      <c r="P54" s="233"/>
      <c r="Q54" s="233"/>
      <c r="R54" s="233"/>
      <c r="S54" s="231" t="str">
        <f t="shared" si="6"/>
        <v/>
      </c>
      <c r="T54" s="231" t="str">
        <f t="shared" si="7"/>
        <v/>
      </c>
      <c r="U54" s="231" t="str">
        <f t="shared" si="8"/>
        <v/>
      </c>
      <c r="V54" s="238"/>
      <c r="X54" s="239"/>
      <c r="Y54" s="247"/>
      <c r="Z54" s="247"/>
    </row>
    <row r="55" spans="1:26" ht="32.450000000000003" customHeight="1" thickBot="1" x14ac:dyDescent="0.3">
      <c r="A55" s="240"/>
      <c r="B55" s="182"/>
      <c r="C55" s="241"/>
      <c r="D55" s="242"/>
      <c r="E55" s="243">
        <v>6</v>
      </c>
      <c r="F55" s="183"/>
      <c r="G55" s="184"/>
      <c r="H55" s="184"/>
      <c r="I55" s="178" t="str">
        <f t="shared" si="0"/>
        <v xml:space="preserve">  </v>
      </c>
      <c r="J55" s="179"/>
      <c r="K55" s="231" t="str">
        <f>+IFERROR(VLOOKUP($J55,'11 FORMULAS'!$B$51:$C$53,2,0),"")</f>
        <v/>
      </c>
      <c r="L55" s="231" t="e">
        <f>+IF(J55="Preventivo","Probabilidad",IF(J55="Detectivo","Probabilidad",IF(#REF!="Correctivo","Impacto","")))</f>
        <v>#REF!</v>
      </c>
      <c r="M55" s="232"/>
      <c r="N55" s="231" t="str">
        <f>+IFERROR(VLOOKUP($M55,'11 FORMULAS'!$B$54:$C$55,2,0),"")</f>
        <v/>
      </c>
      <c r="O55" s="233"/>
      <c r="P55" s="233"/>
      <c r="Q55" s="233"/>
      <c r="R55" s="233"/>
      <c r="S55" s="231" t="str">
        <f t="shared" si="6"/>
        <v/>
      </c>
      <c r="T55" s="231" t="str">
        <f t="shared" si="7"/>
        <v/>
      </c>
      <c r="U55" s="231" t="str">
        <f t="shared" si="8"/>
        <v/>
      </c>
      <c r="V55" s="244"/>
    </row>
    <row r="56" spans="1:26" ht="32.450000000000003" customHeight="1" x14ac:dyDescent="0.25">
      <c r="A56" s="228" t="str">
        <f>'2 CONTEXTO E IDENTIFICACIÓN'!A17</f>
        <v>R9</v>
      </c>
      <c r="B56" s="175" t="str">
        <f>+'2 CONTEXTO E IDENTIFICACIÓN'!J17</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C56" s="229">
        <f>+'3 PROBABIL E IMPACTO INHERENTE'!E17</f>
        <v>0.4</v>
      </c>
      <c r="D56" s="230">
        <f>+'3 PROBABIL E IMPACTO INHERENTE'!M17</f>
        <v>0.4</v>
      </c>
      <c r="E56" s="246">
        <v>1</v>
      </c>
      <c r="F56" s="176" t="s">
        <v>417</v>
      </c>
      <c r="G56" s="177" t="s">
        <v>418</v>
      </c>
      <c r="H56" s="177" t="s">
        <v>419</v>
      </c>
      <c r="I56" s="178" t="str">
        <f t="shared" si="0"/>
        <v xml:space="preserve"> El director(a) técnico(a). Realizar seguimiento a la ejecución de los recursos derl FOCAI que se les entregan a otros países o entidades. Cuando aplique se reitera la solicitud del informe donde el beneficiario da cuenta del uso de los recursos recibidos </v>
      </c>
      <c r="J56" s="179" t="s">
        <v>199</v>
      </c>
      <c r="K56" s="231">
        <f>+IFERROR(VLOOKUP($J56,'11 FORMULAS'!$B$51:$C$53,2,0),"")</f>
        <v>0.25</v>
      </c>
      <c r="L56" s="231" t="str">
        <f>+IF(J56="Preventivo","Probabilidad",IF(J56="Detectivo","Probabilidad",IF(#REF!="Correctivo","Impacto","")))</f>
        <v>Probabilidad</v>
      </c>
      <c r="M56" s="232" t="s">
        <v>211</v>
      </c>
      <c r="N56" s="231">
        <f>+IFERROR(VLOOKUP($M56,'11 FORMULAS'!$B$54:$C$55,2,0),"")</f>
        <v>0.15</v>
      </c>
      <c r="O56" s="233" t="s">
        <v>201</v>
      </c>
      <c r="P56" s="233" t="s">
        <v>291</v>
      </c>
      <c r="Q56" s="233" t="s">
        <v>203</v>
      </c>
      <c r="R56" s="233" t="s">
        <v>298</v>
      </c>
      <c r="S56" s="231">
        <f t="shared" si="6"/>
        <v>0.4</v>
      </c>
      <c r="T56" s="231">
        <f>+IFERROR(C56*S56,"")</f>
        <v>0.16000000000000003</v>
      </c>
      <c r="U56" s="231">
        <f>+IFERROR(C56-T56,"")</f>
        <v>0.24</v>
      </c>
      <c r="V56" s="234" cm="1">
        <f t="array" ref="V56">LOOKUP(2,1/(U56:U61&lt;&gt;"")*U56:U61)</f>
        <v>0.24</v>
      </c>
      <c r="X56" s="239"/>
      <c r="Y56" s="247"/>
      <c r="Z56" s="247"/>
    </row>
    <row r="57" spans="1:26" ht="32.450000000000003" customHeight="1" x14ac:dyDescent="0.25">
      <c r="A57" s="235"/>
      <c r="B57" s="180"/>
      <c r="C57" s="236"/>
      <c r="D57" s="237"/>
      <c r="E57" s="178">
        <v>2</v>
      </c>
      <c r="F57" s="181"/>
      <c r="G57" s="179"/>
      <c r="H57" s="179"/>
      <c r="I57" s="178" t="str">
        <f t="shared" si="0"/>
        <v xml:space="preserve">  </v>
      </c>
      <c r="J57" s="179"/>
      <c r="K57" s="231" t="str">
        <f>+IFERROR(VLOOKUP($J57,'11 FORMULAS'!$B$51:$C$53,2,0),"")</f>
        <v/>
      </c>
      <c r="L57" s="231" t="e">
        <f>+IF(J57="Preventivo","Probabilidad",IF(J57="Detectivo","Probabilidad",IF(#REF!="Correctivo","Impacto","")))</f>
        <v>#REF!</v>
      </c>
      <c r="M57" s="232"/>
      <c r="N57" s="231" t="str">
        <f>+IFERROR(VLOOKUP($M57,'11 FORMULAS'!$B$54:$C$55,2,0),"")</f>
        <v/>
      </c>
      <c r="O57" s="233"/>
      <c r="P57" s="233"/>
      <c r="Q57" s="233"/>
      <c r="R57" s="233"/>
      <c r="S57" s="231" t="str">
        <f t="shared" si="6"/>
        <v/>
      </c>
      <c r="T57" s="231" t="str">
        <f t="shared" si="7"/>
        <v/>
      </c>
      <c r="U57" s="231" t="str">
        <f t="shared" si="8"/>
        <v/>
      </c>
      <c r="V57" s="238"/>
      <c r="X57" s="239"/>
      <c r="Y57" s="247"/>
      <c r="Z57" s="247"/>
    </row>
    <row r="58" spans="1:26" ht="32.450000000000003" customHeight="1" x14ac:dyDescent="0.25">
      <c r="A58" s="235"/>
      <c r="B58" s="180"/>
      <c r="C58" s="236"/>
      <c r="D58" s="237"/>
      <c r="E58" s="178">
        <v>3</v>
      </c>
      <c r="F58" s="181"/>
      <c r="G58" s="179"/>
      <c r="H58" s="179"/>
      <c r="I58" s="178" t="str">
        <f t="shared" si="0"/>
        <v xml:space="preserve">  </v>
      </c>
      <c r="J58" s="179"/>
      <c r="K58" s="231" t="str">
        <f>+IFERROR(VLOOKUP($J58,'11 FORMULAS'!$B$51:$C$53,2,0),"")</f>
        <v/>
      </c>
      <c r="L58" s="231" t="e">
        <f>+IF(J58="Preventivo","Probabilidad",IF(J58="Detectivo","Probabilidad",IF(#REF!="Correctivo","Impacto","")))</f>
        <v>#REF!</v>
      </c>
      <c r="M58" s="232"/>
      <c r="N58" s="231" t="str">
        <f>+IFERROR(VLOOKUP($M58,'11 FORMULAS'!$B$54:$C$55,2,0),"")</f>
        <v/>
      </c>
      <c r="O58" s="233"/>
      <c r="P58" s="233"/>
      <c r="Q58" s="233"/>
      <c r="R58" s="233"/>
      <c r="S58" s="231" t="str">
        <f t="shared" si="6"/>
        <v/>
      </c>
      <c r="T58" s="231" t="str">
        <f t="shared" si="7"/>
        <v/>
      </c>
      <c r="U58" s="231" t="str">
        <f t="shared" si="8"/>
        <v/>
      </c>
      <c r="V58" s="238"/>
      <c r="X58" s="239"/>
      <c r="Y58" s="247"/>
      <c r="Z58" s="247"/>
    </row>
    <row r="59" spans="1:26" ht="32.450000000000003" customHeight="1" x14ac:dyDescent="0.25">
      <c r="A59" s="235"/>
      <c r="B59" s="180"/>
      <c r="C59" s="236"/>
      <c r="D59" s="237"/>
      <c r="E59" s="178">
        <v>4</v>
      </c>
      <c r="F59" s="181"/>
      <c r="G59" s="179"/>
      <c r="H59" s="179"/>
      <c r="I59" s="178" t="str">
        <f t="shared" si="0"/>
        <v xml:space="preserve">  </v>
      </c>
      <c r="J59" s="179"/>
      <c r="K59" s="231" t="str">
        <f>+IFERROR(VLOOKUP($J59,'11 FORMULAS'!$B$51:$C$53,2,0),"")</f>
        <v/>
      </c>
      <c r="L59" s="231" t="e">
        <f>+IF(J59="Preventivo","Probabilidad",IF(J59="Detectivo","Probabilidad",IF(#REF!="Correctivo","Impacto","")))</f>
        <v>#REF!</v>
      </c>
      <c r="M59" s="232"/>
      <c r="N59" s="231" t="str">
        <f>+IFERROR(VLOOKUP($M59,'11 FORMULAS'!$B$54:$C$55,2,0),"")</f>
        <v/>
      </c>
      <c r="O59" s="233"/>
      <c r="P59" s="233"/>
      <c r="Q59" s="233"/>
      <c r="R59" s="233"/>
      <c r="S59" s="231" t="str">
        <f t="shared" si="6"/>
        <v/>
      </c>
      <c r="T59" s="231" t="str">
        <f t="shared" si="7"/>
        <v/>
      </c>
      <c r="U59" s="231" t="str">
        <f t="shared" si="8"/>
        <v/>
      </c>
      <c r="V59" s="238"/>
      <c r="X59" s="239"/>
      <c r="Y59" s="247"/>
      <c r="Z59" s="247"/>
    </row>
    <row r="60" spans="1:26" ht="32.450000000000003" customHeight="1" x14ac:dyDescent="0.25">
      <c r="A60" s="235"/>
      <c r="B60" s="180"/>
      <c r="C60" s="236"/>
      <c r="D60" s="237"/>
      <c r="E60" s="178">
        <v>5</v>
      </c>
      <c r="F60" s="181"/>
      <c r="G60" s="179"/>
      <c r="H60" s="179"/>
      <c r="I60" s="178" t="str">
        <f t="shared" si="0"/>
        <v xml:space="preserve">  </v>
      </c>
      <c r="J60" s="179"/>
      <c r="K60" s="231" t="str">
        <f>+IFERROR(VLOOKUP($J60,'11 FORMULAS'!$B$51:$C$53,2,0),"")</f>
        <v/>
      </c>
      <c r="L60" s="231" t="e">
        <f>+IF(J60="Preventivo","Probabilidad",IF(J60="Detectivo","Probabilidad",IF(#REF!="Correctivo","Impacto","")))</f>
        <v>#REF!</v>
      </c>
      <c r="M60" s="232"/>
      <c r="N60" s="231" t="str">
        <f>+IFERROR(VLOOKUP($M60,'11 FORMULAS'!$B$54:$C$55,2,0),"")</f>
        <v/>
      </c>
      <c r="O60" s="233"/>
      <c r="P60" s="233"/>
      <c r="Q60" s="233"/>
      <c r="R60" s="233"/>
      <c r="S60" s="231" t="str">
        <f t="shared" si="6"/>
        <v/>
      </c>
      <c r="T60" s="231" t="str">
        <f t="shared" si="7"/>
        <v/>
      </c>
      <c r="U60" s="231" t="str">
        <f t="shared" si="8"/>
        <v/>
      </c>
      <c r="V60" s="238"/>
      <c r="X60" s="239"/>
      <c r="Y60" s="247"/>
      <c r="Z60" s="247"/>
    </row>
    <row r="61" spans="1:26" ht="32.450000000000003" customHeight="1" thickBot="1" x14ac:dyDescent="0.3">
      <c r="A61" s="240"/>
      <c r="B61" s="182"/>
      <c r="C61" s="241"/>
      <c r="D61" s="242"/>
      <c r="E61" s="243">
        <v>6</v>
      </c>
      <c r="F61" s="183"/>
      <c r="G61" s="184"/>
      <c r="H61" s="184"/>
      <c r="I61" s="178" t="str">
        <f t="shared" si="0"/>
        <v xml:space="preserve">  </v>
      </c>
      <c r="J61" s="179"/>
      <c r="K61" s="231" t="str">
        <f>+IFERROR(VLOOKUP($J61,'11 FORMULAS'!$B$51:$C$53,2,0),"")</f>
        <v/>
      </c>
      <c r="L61" s="231" t="e">
        <f>+IF(J61="Preventivo","Probabilidad",IF(J61="Detectivo","Probabilidad",IF(#REF!="Correctivo","Impacto","")))</f>
        <v>#REF!</v>
      </c>
      <c r="M61" s="232"/>
      <c r="N61" s="231" t="str">
        <f>+IFERROR(VLOOKUP($M61,'11 FORMULAS'!$B$54:$C$55,2,0),"")</f>
        <v/>
      </c>
      <c r="O61" s="233"/>
      <c r="P61" s="233"/>
      <c r="Q61" s="233"/>
      <c r="R61" s="233"/>
      <c r="S61" s="231" t="str">
        <f t="shared" si="6"/>
        <v/>
      </c>
      <c r="T61" s="231" t="str">
        <f t="shared" si="7"/>
        <v/>
      </c>
      <c r="U61" s="231" t="str">
        <f t="shared" si="8"/>
        <v/>
      </c>
      <c r="V61" s="244"/>
    </row>
    <row r="62" spans="1:26" ht="32.450000000000003" customHeight="1" x14ac:dyDescent="0.25">
      <c r="A62" s="228" t="str">
        <f>'2 CONTEXTO E IDENTIFICACIÓN'!A18</f>
        <v>R10</v>
      </c>
      <c r="B62" s="175" t="str">
        <f>+'2 CONTEXTO E IDENTIFICACIÓN'!J18</f>
        <v>Posibilidad de afectación económica por no reporte o no rendir informes sobre el uso o destinación de los recursos entregados a otros países y otras entidades a causa de la no entrega de los informes.</v>
      </c>
      <c r="C62" s="229">
        <f>+'3 PROBABIL E IMPACTO INHERENTE'!E18</f>
        <v>0.4</v>
      </c>
      <c r="D62" s="230">
        <f>+'3 PROBABIL E IMPACTO INHERENTE'!M18</f>
        <v>0.4</v>
      </c>
      <c r="E62" s="246">
        <v>1</v>
      </c>
      <c r="F62" s="176" t="s">
        <v>417</v>
      </c>
      <c r="G62" s="177" t="s">
        <v>420</v>
      </c>
      <c r="H62" s="177" t="s">
        <v>421</v>
      </c>
      <c r="I62" s="178" t="str">
        <f t="shared" si="0"/>
        <v xml:space="preserve"> El director(a) técnico(a). Realizar seguimiento al informe de ejecución de los recursos entregados. Cuando aplique se realiza ajustes a los proyectos o reprogramación de iniciativas de CSS. </v>
      </c>
      <c r="J62" s="179" t="s">
        <v>199</v>
      </c>
      <c r="K62" s="231">
        <f>+IFERROR(VLOOKUP($J62,'11 FORMULAS'!$B$51:$C$53,2,0),"")</f>
        <v>0.25</v>
      </c>
      <c r="L62" s="231" t="str">
        <f>+IF(J62="Preventivo","Probabilidad",IF(J62="Detectivo","Probabilidad",IF(#REF!="Correctivo","Impacto","")))</f>
        <v>Probabilidad</v>
      </c>
      <c r="M62" s="232" t="s">
        <v>211</v>
      </c>
      <c r="N62" s="231">
        <f>+IFERROR(VLOOKUP($M62,'11 FORMULAS'!$B$54:$C$55,2,0),"")</f>
        <v>0.15</v>
      </c>
      <c r="O62" s="233" t="s">
        <v>201</v>
      </c>
      <c r="P62" s="233" t="s">
        <v>291</v>
      </c>
      <c r="Q62" s="233" t="s">
        <v>203</v>
      </c>
      <c r="R62" s="233" t="s">
        <v>204</v>
      </c>
      <c r="S62" s="231">
        <f t="shared" si="6"/>
        <v>0.4</v>
      </c>
      <c r="T62" s="231">
        <f>+IFERROR(C62*S62,"")</f>
        <v>0.16000000000000003</v>
      </c>
      <c r="U62" s="231">
        <f>+IFERROR(C62-T62,"")</f>
        <v>0.24</v>
      </c>
      <c r="V62" s="234" cm="1">
        <f t="array" ref="V62">LOOKUP(2,1/(U62:U67&lt;&gt;"")*U62:U67)</f>
        <v>0.24</v>
      </c>
      <c r="X62" s="239"/>
      <c r="Y62" s="247"/>
      <c r="Z62" s="247"/>
    </row>
    <row r="63" spans="1:26" ht="32.450000000000003" customHeight="1" x14ac:dyDescent="0.25">
      <c r="A63" s="235"/>
      <c r="B63" s="180"/>
      <c r="C63" s="236"/>
      <c r="D63" s="237"/>
      <c r="E63" s="178">
        <v>2</v>
      </c>
      <c r="F63" s="181"/>
      <c r="G63" s="179"/>
      <c r="H63" s="179"/>
      <c r="I63" s="178" t="str">
        <f t="shared" si="0"/>
        <v xml:space="preserve">  </v>
      </c>
      <c r="J63" s="179"/>
      <c r="K63" s="231" t="str">
        <f>+IFERROR(VLOOKUP($J63,'11 FORMULAS'!$B$51:$C$53,2,0),"")</f>
        <v/>
      </c>
      <c r="L63" s="231" t="e">
        <f>+IF(J63="Preventivo","Probabilidad",IF(J63="Detectivo","Probabilidad",IF(#REF!="Correctivo","Impacto","")))</f>
        <v>#REF!</v>
      </c>
      <c r="M63" s="232"/>
      <c r="N63" s="231" t="str">
        <f>+IFERROR(VLOOKUP($M63,'11 FORMULAS'!$B$54:$C$55,2,0),"")</f>
        <v/>
      </c>
      <c r="O63" s="233"/>
      <c r="P63" s="233"/>
      <c r="Q63" s="233"/>
      <c r="R63" s="233"/>
      <c r="S63" s="231" t="str">
        <f t="shared" si="6"/>
        <v/>
      </c>
      <c r="T63" s="231" t="str">
        <f t="shared" si="7"/>
        <v/>
      </c>
      <c r="U63" s="231" t="str">
        <f t="shared" si="8"/>
        <v/>
      </c>
      <c r="V63" s="238"/>
      <c r="X63" s="239"/>
      <c r="Y63" s="247"/>
      <c r="Z63" s="247"/>
    </row>
    <row r="64" spans="1:26" ht="32.450000000000003" customHeight="1" x14ac:dyDescent="0.25">
      <c r="A64" s="235"/>
      <c r="B64" s="180"/>
      <c r="C64" s="236"/>
      <c r="D64" s="237"/>
      <c r="E64" s="178">
        <v>3</v>
      </c>
      <c r="F64" s="181"/>
      <c r="G64" s="179"/>
      <c r="H64" s="179"/>
      <c r="I64" s="178" t="str">
        <f t="shared" si="0"/>
        <v xml:space="preserve">  </v>
      </c>
      <c r="J64" s="179"/>
      <c r="K64" s="231" t="str">
        <f>+IFERROR(VLOOKUP($J64,'11 FORMULAS'!$B$51:$C$53,2,0),"")</f>
        <v/>
      </c>
      <c r="L64" s="231" t="e">
        <f>+IF(J64="Preventivo","Probabilidad",IF(J64="Detectivo","Probabilidad",IF(#REF!="Correctivo","Impacto","")))</f>
        <v>#REF!</v>
      </c>
      <c r="M64" s="232"/>
      <c r="N64" s="231" t="str">
        <f>+IFERROR(VLOOKUP($M64,'11 FORMULAS'!$B$54:$C$55,2,0),"")</f>
        <v/>
      </c>
      <c r="O64" s="233"/>
      <c r="P64" s="233"/>
      <c r="Q64" s="233"/>
      <c r="R64" s="233"/>
      <c r="S64" s="231" t="str">
        <f t="shared" si="6"/>
        <v/>
      </c>
      <c r="T64" s="231" t="str">
        <f t="shared" si="7"/>
        <v/>
      </c>
      <c r="U64" s="231" t="str">
        <f t="shared" si="8"/>
        <v/>
      </c>
      <c r="V64" s="238"/>
      <c r="X64" s="239"/>
      <c r="Y64" s="247"/>
      <c r="Z64" s="247"/>
    </row>
    <row r="65" spans="1:26" ht="32.450000000000003" customHeight="1" x14ac:dyDescent="0.25">
      <c r="A65" s="235"/>
      <c r="B65" s="180"/>
      <c r="C65" s="236"/>
      <c r="D65" s="237"/>
      <c r="E65" s="178">
        <v>4</v>
      </c>
      <c r="F65" s="181"/>
      <c r="G65" s="179"/>
      <c r="H65" s="179"/>
      <c r="I65" s="178" t="str">
        <f t="shared" si="0"/>
        <v xml:space="preserve">  </v>
      </c>
      <c r="J65" s="179"/>
      <c r="K65" s="231" t="str">
        <f>+IFERROR(VLOOKUP($J65,'11 FORMULAS'!$B$51:$C$53,2,0),"")</f>
        <v/>
      </c>
      <c r="L65" s="231" t="e">
        <f>+IF(J65="Preventivo","Probabilidad",IF(J65="Detectivo","Probabilidad",IF(#REF!="Correctivo","Impacto","")))</f>
        <v>#REF!</v>
      </c>
      <c r="M65" s="232"/>
      <c r="N65" s="231" t="str">
        <f>+IFERROR(VLOOKUP($M65,'11 FORMULAS'!$B$54:$C$55,2,0),"")</f>
        <v/>
      </c>
      <c r="O65" s="233"/>
      <c r="P65" s="233"/>
      <c r="Q65" s="233"/>
      <c r="R65" s="233"/>
      <c r="S65" s="231" t="str">
        <f t="shared" si="6"/>
        <v/>
      </c>
      <c r="T65" s="231" t="str">
        <f t="shared" si="7"/>
        <v/>
      </c>
      <c r="U65" s="231" t="str">
        <f t="shared" si="8"/>
        <v/>
      </c>
      <c r="V65" s="238"/>
      <c r="X65" s="239"/>
      <c r="Y65" s="247"/>
      <c r="Z65" s="247"/>
    </row>
    <row r="66" spans="1:26" ht="32.450000000000003" customHeight="1" x14ac:dyDescent="0.25">
      <c r="A66" s="235"/>
      <c r="B66" s="180"/>
      <c r="C66" s="236"/>
      <c r="D66" s="237"/>
      <c r="E66" s="178">
        <v>5</v>
      </c>
      <c r="F66" s="181"/>
      <c r="G66" s="179"/>
      <c r="H66" s="179"/>
      <c r="I66" s="178" t="str">
        <f t="shared" si="0"/>
        <v xml:space="preserve">  </v>
      </c>
      <c r="J66" s="179"/>
      <c r="K66" s="231" t="str">
        <f>+IFERROR(VLOOKUP($J66,'11 FORMULAS'!$B$51:$C$53,2,0),"")</f>
        <v/>
      </c>
      <c r="L66" s="231" t="e">
        <f>+IF(J66="Preventivo","Probabilidad",IF(J66="Detectivo","Probabilidad",IF(#REF!="Correctivo","Impacto","")))</f>
        <v>#REF!</v>
      </c>
      <c r="M66" s="232"/>
      <c r="N66" s="231" t="str">
        <f>+IFERROR(VLOOKUP($M66,'11 FORMULAS'!$B$54:$C$55,2,0),"")</f>
        <v/>
      </c>
      <c r="O66" s="233"/>
      <c r="P66" s="233"/>
      <c r="Q66" s="233"/>
      <c r="R66" s="233"/>
      <c r="S66" s="231" t="str">
        <f t="shared" si="6"/>
        <v/>
      </c>
      <c r="T66" s="231" t="str">
        <f t="shared" si="7"/>
        <v/>
      </c>
      <c r="U66" s="231" t="str">
        <f t="shared" si="8"/>
        <v/>
      </c>
      <c r="V66" s="238"/>
      <c r="X66" s="239"/>
      <c r="Y66" s="247"/>
      <c r="Z66" s="247"/>
    </row>
    <row r="67" spans="1:26" ht="32.450000000000003" customHeight="1" thickBot="1" x14ac:dyDescent="0.3">
      <c r="A67" s="240"/>
      <c r="B67" s="182"/>
      <c r="C67" s="241"/>
      <c r="D67" s="242"/>
      <c r="E67" s="243">
        <v>6</v>
      </c>
      <c r="F67" s="183"/>
      <c r="G67" s="184"/>
      <c r="H67" s="184"/>
      <c r="I67" s="178" t="str">
        <f t="shared" si="0"/>
        <v xml:space="preserve">  </v>
      </c>
      <c r="J67" s="179"/>
      <c r="K67" s="231" t="str">
        <f>+IFERROR(VLOOKUP($J67,'11 FORMULAS'!$B$51:$C$53,2,0),"")</f>
        <v/>
      </c>
      <c r="L67" s="231" t="e">
        <f>+IF(J67="Preventivo","Probabilidad",IF(J67="Detectivo","Probabilidad",IF(#REF!="Correctivo","Impacto","")))</f>
        <v>#REF!</v>
      </c>
      <c r="M67" s="232"/>
      <c r="N67" s="231" t="str">
        <f>+IFERROR(VLOOKUP($M67,'11 FORMULAS'!$B$54:$C$55,2,0),"")</f>
        <v/>
      </c>
      <c r="O67" s="233"/>
      <c r="P67" s="233"/>
      <c r="Q67" s="233"/>
      <c r="R67" s="233"/>
      <c r="S67" s="231" t="str">
        <f t="shared" si="6"/>
        <v/>
      </c>
      <c r="T67" s="231" t="str">
        <f t="shared" si="7"/>
        <v/>
      </c>
      <c r="U67" s="231" t="str">
        <f t="shared" si="8"/>
        <v/>
      </c>
      <c r="V67" s="244"/>
    </row>
    <row r="68" spans="1:26" ht="32.450000000000003" customHeight="1" x14ac:dyDescent="0.25">
      <c r="A68" s="228" t="str">
        <f>'2 CONTEXTO E IDENTIFICACIÓN'!A19</f>
        <v>R11</v>
      </c>
      <c r="B68" s="175" t="str">
        <f>+'2 CONTEXTO E IDENTIFICACIÓN'!J19</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C68" s="229">
        <f>+'3 PROBABIL E IMPACTO INHERENTE'!E19</f>
        <v>0.4</v>
      </c>
      <c r="D68" s="230">
        <f>+'3 PROBABIL E IMPACTO INHERENTE'!M19</f>
        <v>0.4</v>
      </c>
      <c r="E68" s="246">
        <v>1</v>
      </c>
      <c r="F68" s="176" t="s">
        <v>422</v>
      </c>
      <c r="G68" s="177" t="s">
        <v>423</v>
      </c>
      <c r="H68" s="177" t="s">
        <v>424</v>
      </c>
      <c r="I68" s="178" t="str">
        <f t="shared" si="0"/>
        <v>El director(a) administrativo(a) y financiero(a). Realizar seguimiento a la ejecucion de proyectos e iniciativas. Cuando aplique se realiza ajustes a los proyectos o reprogramación de iniciativas</v>
      </c>
      <c r="J68" s="179" t="s">
        <v>199</v>
      </c>
      <c r="K68" s="231">
        <f>+IFERROR(VLOOKUP($J68,'11 FORMULAS'!$B$51:$C$53,2,0),"")</f>
        <v>0.25</v>
      </c>
      <c r="L68" s="231" t="str">
        <f>+IF(J68="Preventivo","Probabilidad",IF(J68="Detectivo","Probabilidad",IF(#REF!="Correctivo","Impacto","")))</f>
        <v>Probabilidad</v>
      </c>
      <c r="M68" s="232" t="s">
        <v>211</v>
      </c>
      <c r="N68" s="231">
        <f>+IFERROR(VLOOKUP($M68,'11 FORMULAS'!$B$54:$C$55,2,0),"")</f>
        <v>0.15</v>
      </c>
      <c r="O68" s="233" t="s">
        <v>201</v>
      </c>
      <c r="P68" s="233" t="s">
        <v>291</v>
      </c>
      <c r="Q68" s="233" t="s">
        <v>203</v>
      </c>
      <c r="R68" s="233" t="s">
        <v>204</v>
      </c>
      <c r="S68" s="231">
        <f t="shared" si="6"/>
        <v>0.4</v>
      </c>
      <c r="T68" s="231">
        <f>+IFERROR(C68*S68,"")</f>
        <v>0.16000000000000003</v>
      </c>
      <c r="U68" s="231">
        <f>+IFERROR(C68-T68,"")</f>
        <v>0.24</v>
      </c>
      <c r="V68" s="234" cm="1">
        <f t="array" ref="V68">LOOKUP(2,1/(U68:U73&lt;&gt;"")*U68:U73)</f>
        <v>0.24</v>
      </c>
      <c r="X68" s="239"/>
      <c r="Y68" s="247"/>
      <c r="Z68" s="247"/>
    </row>
    <row r="69" spans="1:26" ht="32.450000000000003" customHeight="1" x14ac:dyDescent="0.25">
      <c r="A69" s="252"/>
      <c r="B69" s="188"/>
      <c r="C69" s="253"/>
      <c r="D69" s="254"/>
      <c r="E69" s="178">
        <v>2</v>
      </c>
      <c r="F69" s="189"/>
      <c r="G69" s="190"/>
      <c r="H69" s="190"/>
      <c r="I69" s="178" t="str">
        <f t="shared" si="0"/>
        <v xml:space="preserve">  </v>
      </c>
      <c r="J69" s="179"/>
      <c r="K69" s="231" t="str">
        <f>+IFERROR(VLOOKUP($J69,'11 FORMULAS'!$B$51:$C$53,2,0),"")</f>
        <v/>
      </c>
      <c r="L69" s="231" t="e">
        <f>+IF(J69="Preventivo","Probabilidad",IF(J69="Detectivo","Probabilidad",IF(#REF!="Correctivo","Impacto","")))</f>
        <v>#REF!</v>
      </c>
      <c r="M69" s="232"/>
      <c r="N69" s="231" t="str">
        <f>+IFERROR(VLOOKUP($M69,'11 FORMULAS'!$B$54:$C$55,2,0),"")</f>
        <v/>
      </c>
      <c r="O69" s="233"/>
      <c r="P69" s="233"/>
      <c r="Q69" s="233"/>
      <c r="R69" s="233"/>
      <c r="S69" s="231" t="str">
        <f t="shared" si="6"/>
        <v/>
      </c>
      <c r="T69" s="231" t="str">
        <f t="shared" si="7"/>
        <v/>
      </c>
      <c r="U69" s="231" t="str">
        <f t="shared" si="8"/>
        <v/>
      </c>
      <c r="V69" s="238"/>
      <c r="X69" s="239"/>
      <c r="Y69" s="247"/>
      <c r="Z69" s="247"/>
    </row>
    <row r="70" spans="1:26" ht="32.450000000000003" customHeight="1" x14ac:dyDescent="0.25">
      <c r="A70" s="252"/>
      <c r="B70" s="188"/>
      <c r="C70" s="253"/>
      <c r="D70" s="254"/>
      <c r="E70" s="178">
        <v>3</v>
      </c>
      <c r="F70" s="189"/>
      <c r="G70" s="190"/>
      <c r="H70" s="190"/>
      <c r="I70" s="178" t="str">
        <f t="shared" si="0"/>
        <v xml:space="preserve">  </v>
      </c>
      <c r="J70" s="179"/>
      <c r="K70" s="231" t="str">
        <f>+IFERROR(VLOOKUP($J70,'11 FORMULAS'!$B$51:$C$53,2,0),"")</f>
        <v/>
      </c>
      <c r="L70" s="231" t="e">
        <f>+IF(J70="Preventivo","Probabilidad",IF(J70="Detectivo","Probabilidad",IF(#REF!="Correctivo","Impacto","")))</f>
        <v>#REF!</v>
      </c>
      <c r="M70" s="232"/>
      <c r="N70" s="231" t="str">
        <f>+IFERROR(VLOOKUP($M70,'11 FORMULAS'!$B$54:$C$55,2,0),"")</f>
        <v/>
      </c>
      <c r="O70" s="233"/>
      <c r="P70" s="233"/>
      <c r="Q70" s="233"/>
      <c r="R70" s="233"/>
      <c r="S70" s="231" t="str">
        <f t="shared" si="6"/>
        <v/>
      </c>
      <c r="T70" s="231" t="str">
        <f t="shared" si="7"/>
        <v/>
      </c>
      <c r="U70" s="231" t="str">
        <f t="shared" si="8"/>
        <v/>
      </c>
      <c r="V70" s="238"/>
      <c r="X70" s="239"/>
      <c r="Y70" s="247"/>
      <c r="Z70" s="247"/>
    </row>
    <row r="71" spans="1:26" ht="32.450000000000003" customHeight="1" x14ac:dyDescent="0.25">
      <c r="A71" s="235"/>
      <c r="B71" s="180"/>
      <c r="C71" s="236"/>
      <c r="D71" s="237"/>
      <c r="E71" s="178">
        <v>4</v>
      </c>
      <c r="F71" s="181"/>
      <c r="G71" s="179"/>
      <c r="H71" s="179"/>
      <c r="I71" s="178" t="str">
        <f t="shared" si="0"/>
        <v xml:space="preserve">  </v>
      </c>
      <c r="J71" s="179"/>
      <c r="K71" s="231" t="str">
        <f>+IFERROR(VLOOKUP($J71,'11 FORMULAS'!$B$51:$C$53,2,0),"")</f>
        <v/>
      </c>
      <c r="L71" s="231" t="e">
        <f>+IF(J71="Preventivo","Probabilidad",IF(J71="Detectivo","Probabilidad",IF(#REF!="Correctivo","Impacto","")))</f>
        <v>#REF!</v>
      </c>
      <c r="M71" s="232"/>
      <c r="N71" s="231" t="str">
        <f>+IFERROR(VLOOKUP($M71,'11 FORMULAS'!$B$54:$C$55,2,0),"")</f>
        <v/>
      </c>
      <c r="O71" s="233"/>
      <c r="P71" s="233"/>
      <c r="Q71" s="233"/>
      <c r="R71" s="233"/>
      <c r="S71" s="231" t="str">
        <f t="shared" si="6"/>
        <v/>
      </c>
      <c r="T71" s="231" t="str">
        <f t="shared" si="7"/>
        <v/>
      </c>
      <c r="U71" s="231" t="str">
        <f t="shared" si="8"/>
        <v/>
      </c>
      <c r="V71" s="238"/>
      <c r="X71" s="239"/>
      <c r="Y71" s="247"/>
      <c r="Z71" s="247"/>
    </row>
    <row r="72" spans="1:26" ht="32.450000000000003" customHeight="1" x14ac:dyDescent="0.25">
      <c r="A72" s="235"/>
      <c r="B72" s="180"/>
      <c r="C72" s="236"/>
      <c r="D72" s="237"/>
      <c r="E72" s="178">
        <v>5</v>
      </c>
      <c r="F72" s="181"/>
      <c r="G72" s="179"/>
      <c r="H72" s="179"/>
      <c r="I72" s="178" t="str">
        <f t="shared" ref="I72:I128" si="9">+CONCATENATE(F72," ",G72," ",H72)</f>
        <v xml:space="preserve">  </v>
      </c>
      <c r="J72" s="179"/>
      <c r="K72" s="231" t="str">
        <f>+IFERROR(VLOOKUP($J72,'11 FORMULAS'!$B$51:$C$53,2,0),"")</f>
        <v/>
      </c>
      <c r="L72" s="231" t="e">
        <f>+IF(J72="Preventivo","Probabilidad",IF(J72="Detectivo","Probabilidad",IF(#REF!="Correctivo","Impacto","")))</f>
        <v>#REF!</v>
      </c>
      <c r="M72" s="232"/>
      <c r="N72" s="231" t="str">
        <f>+IFERROR(VLOOKUP($M72,'11 FORMULAS'!$B$54:$C$55,2,0),"")</f>
        <v/>
      </c>
      <c r="O72" s="233"/>
      <c r="P72" s="233"/>
      <c r="Q72" s="233"/>
      <c r="R72" s="233"/>
      <c r="S72" s="231" t="str">
        <f t="shared" ref="S72:S104" si="10">+IFERROR($K72+$N72,"")</f>
        <v/>
      </c>
      <c r="T72" s="231" t="str">
        <f t="shared" si="7"/>
        <v/>
      </c>
      <c r="U72" s="231" t="str">
        <f t="shared" si="8"/>
        <v/>
      </c>
      <c r="V72" s="238"/>
      <c r="X72" s="239"/>
      <c r="Y72" s="247"/>
      <c r="Z72" s="247"/>
    </row>
    <row r="73" spans="1:26" ht="32.450000000000003" customHeight="1" thickBot="1" x14ac:dyDescent="0.3">
      <c r="A73" s="240"/>
      <c r="B73" s="182"/>
      <c r="C73" s="241"/>
      <c r="D73" s="242"/>
      <c r="E73" s="243">
        <v>6</v>
      </c>
      <c r="F73" s="183"/>
      <c r="G73" s="184"/>
      <c r="H73" s="184"/>
      <c r="I73" s="178" t="str">
        <f t="shared" si="9"/>
        <v xml:space="preserve">  </v>
      </c>
      <c r="J73" s="179"/>
      <c r="K73" s="231" t="str">
        <f>+IFERROR(VLOOKUP($J73,'11 FORMULAS'!$B$51:$C$53,2,0),"")</f>
        <v/>
      </c>
      <c r="L73" s="231" t="e">
        <f>+IF(J73="Preventivo","Probabilidad",IF(J73="Detectivo","Probabilidad",IF(#REF!="Correctivo","Impacto","")))</f>
        <v>#REF!</v>
      </c>
      <c r="M73" s="232"/>
      <c r="N73" s="231" t="str">
        <f>+IFERROR(VLOOKUP($M73,'11 FORMULAS'!$B$54:$C$55,2,0),"")</f>
        <v/>
      </c>
      <c r="O73" s="233"/>
      <c r="P73" s="233"/>
      <c r="Q73" s="233"/>
      <c r="R73" s="233"/>
      <c r="S73" s="231" t="str">
        <f t="shared" si="10"/>
        <v/>
      </c>
      <c r="T73" s="231" t="str">
        <f t="shared" si="7"/>
        <v/>
      </c>
      <c r="U73" s="231" t="str">
        <f t="shared" si="8"/>
        <v/>
      </c>
      <c r="V73" s="244"/>
    </row>
    <row r="74" spans="1:26" ht="32.450000000000003" customHeight="1" x14ac:dyDescent="0.25">
      <c r="A74" s="228" t="str">
        <f>'2 CONTEXTO E IDENTIFICACIÓN'!A20</f>
        <v>R12</v>
      </c>
      <c r="B74" s="175" t="str">
        <f>+'2 CONTEXTO E IDENTIFICACIÓN'!J20</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C74" s="229">
        <f>+'3 PROBABIL E IMPACTO INHERENTE'!E20</f>
        <v>0.6</v>
      </c>
      <c r="D74" s="230">
        <f>+'3 PROBABIL E IMPACTO INHERENTE'!M20</f>
        <v>0.6</v>
      </c>
      <c r="E74" s="246">
        <v>1</v>
      </c>
      <c r="F74" s="176" t="s">
        <v>533</v>
      </c>
      <c r="G74" s="177" t="s">
        <v>427</v>
      </c>
      <c r="H74" s="177" t="s">
        <v>428</v>
      </c>
      <c r="I74" s="178" t="str">
        <f t="shared" si="9"/>
        <v xml:space="preserve"> El(la) profesional responsable de almacén. Realizar la verificación de los elementos almacenados en los depositos, manteniendo la restrinción en el acceso solo para el personal autorizado y/o responsable, prevaleciendo que  las puertas de estos lugares se encuentre bajo llave permanente y monitoreado.  Al presentarse una novedad de ingreso de personal o elementos no autorizados u otra situación frente al tema, el responsable de almacén Informa inmediatamente al superior jerárquico de la situación presentada para seguir instrucciones.</v>
      </c>
      <c r="J74" s="179" t="s">
        <v>199</v>
      </c>
      <c r="K74" s="231">
        <f>+IFERROR(VLOOKUP($J74,'11 FORMULAS'!$B$51:$C$53,2,0),"")</f>
        <v>0.25</v>
      </c>
      <c r="L74" s="231" t="str">
        <f>+IF(J74="Preventivo","Probabilidad",IF(J74="Detectivo","Probabilidad",IF(#REF!="Correctivo","Impacto","")))</f>
        <v>Probabilidad</v>
      </c>
      <c r="M74" s="232" t="s">
        <v>211</v>
      </c>
      <c r="N74" s="231">
        <f>+IFERROR(VLOOKUP($M74,'11 FORMULAS'!$B$54:$C$55,2,0),"")</f>
        <v>0.15</v>
      </c>
      <c r="O74" s="233" t="s">
        <v>201</v>
      </c>
      <c r="P74" s="233" t="s">
        <v>286</v>
      </c>
      <c r="Q74" s="233" t="s">
        <v>295</v>
      </c>
      <c r="R74" s="233" t="s">
        <v>204</v>
      </c>
      <c r="S74" s="231">
        <f t="shared" si="10"/>
        <v>0.4</v>
      </c>
      <c r="T74" s="231">
        <f>+IFERROR(C74*S74,"")</f>
        <v>0.24</v>
      </c>
      <c r="U74" s="231">
        <f>+IFERROR(C74-T74,"")</f>
        <v>0.36</v>
      </c>
      <c r="V74" s="234" cm="1">
        <f t="array" ref="V74">LOOKUP(2,1/(U74:U79&lt;&gt;"")*U74:U79)</f>
        <v>0.4</v>
      </c>
      <c r="X74" s="239"/>
      <c r="Y74" s="247"/>
      <c r="Z74" s="247"/>
    </row>
    <row r="75" spans="1:26" ht="32.450000000000003" customHeight="1" x14ac:dyDescent="0.25">
      <c r="A75" s="235"/>
      <c r="B75" s="180"/>
      <c r="C75" s="236"/>
      <c r="D75" s="237"/>
      <c r="E75" s="178">
        <v>2</v>
      </c>
      <c r="F75" s="181" t="s">
        <v>425</v>
      </c>
      <c r="G75" s="179" t="s">
        <v>426</v>
      </c>
      <c r="H75" s="179" t="s">
        <v>534</v>
      </c>
      <c r="I75" s="178" t="str">
        <f t="shared" si="9"/>
        <v xml:space="preserve"> El(la) profesional responsable de inventarios. Realizar la verificación de las entradas y salidas registradas durante el periodo (mes). Al identificar algúna novedad esta se informa y se registra en el periodo siguiente.</v>
      </c>
      <c r="J75" s="179" t="s">
        <v>199</v>
      </c>
      <c r="K75" s="231">
        <f>+IFERROR(VLOOKUP($J75,'11 FORMULAS'!$B$51:$C$53,2,0),"")</f>
        <v>0.25</v>
      </c>
      <c r="L75" s="231" t="str">
        <f>+IF(J75="Preventivo","Probabilidad",IF(J75="Detectivo","Probabilidad",IF(#REF!="Correctivo","Impacto","")))</f>
        <v>Probabilidad</v>
      </c>
      <c r="M75" s="232" t="s">
        <v>211</v>
      </c>
      <c r="N75" s="231">
        <f>+IFERROR(VLOOKUP($M75,'11 FORMULAS'!$B$54:$C$55,2,0),"")</f>
        <v>0.15</v>
      </c>
      <c r="O75" s="233" t="s">
        <v>284</v>
      </c>
      <c r="P75" s="233" t="s">
        <v>289</v>
      </c>
      <c r="Q75" s="233" t="s">
        <v>295</v>
      </c>
      <c r="R75" s="233" t="s">
        <v>204</v>
      </c>
      <c r="S75" s="231">
        <f t="shared" si="10"/>
        <v>0.4</v>
      </c>
      <c r="T75" s="231">
        <f t="shared" si="7"/>
        <v>0</v>
      </c>
      <c r="U75" s="231">
        <f t="shared" si="8"/>
        <v>0.4</v>
      </c>
      <c r="V75" s="238"/>
      <c r="X75" s="239"/>
      <c r="Y75" s="247"/>
      <c r="Z75" s="247"/>
    </row>
    <row r="76" spans="1:26" ht="32.450000000000003" customHeight="1" x14ac:dyDescent="0.25">
      <c r="A76" s="235"/>
      <c r="B76" s="180"/>
      <c r="C76" s="236"/>
      <c r="D76" s="237"/>
      <c r="E76" s="178">
        <v>3</v>
      </c>
      <c r="F76" s="181"/>
      <c r="G76" s="179"/>
      <c r="H76" s="179"/>
      <c r="I76" s="178" t="str">
        <f t="shared" si="9"/>
        <v xml:space="preserve">  </v>
      </c>
      <c r="J76" s="179"/>
      <c r="K76" s="231" t="str">
        <f>+IFERROR(VLOOKUP($J76,'11 FORMULAS'!$B$51:$C$53,2,0),"")</f>
        <v/>
      </c>
      <c r="L76" s="231" t="e">
        <f>+IF(J76="Preventivo","Probabilidad",IF(J76="Detectivo","Probabilidad",IF(#REF!="Correctivo","Impacto","")))</f>
        <v>#REF!</v>
      </c>
      <c r="M76" s="232"/>
      <c r="N76" s="231" t="str">
        <f>+IFERROR(VLOOKUP($M76,'11 FORMULAS'!$B$54:$C$55,2,0),"")</f>
        <v/>
      </c>
      <c r="O76" s="233"/>
      <c r="P76" s="233"/>
      <c r="Q76" s="233"/>
      <c r="R76" s="233"/>
      <c r="S76" s="231" t="str">
        <f t="shared" si="10"/>
        <v/>
      </c>
      <c r="T76" s="231" t="str">
        <f t="shared" si="7"/>
        <v/>
      </c>
      <c r="U76" s="231" t="str">
        <f t="shared" si="8"/>
        <v/>
      </c>
      <c r="V76" s="238"/>
      <c r="X76" s="239"/>
      <c r="Y76" s="247"/>
      <c r="Z76" s="247"/>
    </row>
    <row r="77" spans="1:26" ht="32.450000000000003" customHeight="1" x14ac:dyDescent="0.25">
      <c r="A77" s="235"/>
      <c r="B77" s="180"/>
      <c r="C77" s="236"/>
      <c r="D77" s="237"/>
      <c r="E77" s="178">
        <v>4</v>
      </c>
      <c r="F77" s="181"/>
      <c r="G77" s="179"/>
      <c r="H77" s="179"/>
      <c r="I77" s="178" t="str">
        <f t="shared" si="9"/>
        <v xml:space="preserve">  </v>
      </c>
      <c r="J77" s="179"/>
      <c r="K77" s="231" t="str">
        <f>+IFERROR(VLOOKUP($J77,'11 FORMULAS'!$B$51:$C$53,2,0),"")</f>
        <v/>
      </c>
      <c r="L77" s="231" t="e">
        <f>+IF(J77="Preventivo","Probabilidad",IF(J77="Detectivo","Probabilidad",IF(#REF!="Correctivo","Impacto","")))</f>
        <v>#REF!</v>
      </c>
      <c r="M77" s="232"/>
      <c r="N77" s="231" t="str">
        <f>+IFERROR(VLOOKUP($M77,'11 FORMULAS'!$B$54:$C$55,2,0),"")</f>
        <v/>
      </c>
      <c r="O77" s="233"/>
      <c r="P77" s="233"/>
      <c r="Q77" s="233"/>
      <c r="R77" s="233"/>
      <c r="S77" s="231" t="str">
        <f t="shared" si="10"/>
        <v/>
      </c>
      <c r="T77" s="231" t="str">
        <f t="shared" si="7"/>
        <v/>
      </c>
      <c r="U77" s="231" t="str">
        <f t="shared" si="8"/>
        <v/>
      </c>
      <c r="V77" s="238"/>
      <c r="X77" s="239"/>
      <c r="Y77" s="247"/>
      <c r="Z77" s="247"/>
    </row>
    <row r="78" spans="1:26" ht="32.450000000000003" customHeight="1" x14ac:dyDescent="0.25">
      <c r="A78" s="235"/>
      <c r="B78" s="180"/>
      <c r="C78" s="236"/>
      <c r="D78" s="237"/>
      <c r="E78" s="178">
        <v>5</v>
      </c>
      <c r="F78" s="181"/>
      <c r="G78" s="179"/>
      <c r="H78" s="179"/>
      <c r="I78" s="178" t="str">
        <f t="shared" si="9"/>
        <v xml:space="preserve">  </v>
      </c>
      <c r="J78" s="179"/>
      <c r="K78" s="231" t="str">
        <f>+IFERROR(VLOOKUP($J78,'11 FORMULAS'!$B$51:$C$53,2,0),"")</f>
        <v/>
      </c>
      <c r="L78" s="231" t="e">
        <f>+IF(J78="Preventivo","Probabilidad",IF(J78="Detectivo","Probabilidad",IF(#REF!="Correctivo","Impacto","")))</f>
        <v>#REF!</v>
      </c>
      <c r="M78" s="232"/>
      <c r="N78" s="231" t="str">
        <f>+IFERROR(VLOOKUP($M78,'11 FORMULAS'!$B$54:$C$55,2,0),"")</f>
        <v/>
      </c>
      <c r="O78" s="233"/>
      <c r="P78" s="233"/>
      <c r="Q78" s="233"/>
      <c r="R78" s="233"/>
      <c r="S78" s="231" t="str">
        <f t="shared" si="10"/>
        <v/>
      </c>
      <c r="T78" s="231" t="str">
        <f t="shared" si="7"/>
        <v/>
      </c>
      <c r="U78" s="231" t="str">
        <f t="shared" si="8"/>
        <v/>
      </c>
      <c r="V78" s="238"/>
      <c r="X78" s="239"/>
      <c r="Y78" s="247"/>
      <c r="Z78" s="247"/>
    </row>
    <row r="79" spans="1:26" ht="32.450000000000003" customHeight="1" thickBot="1" x14ac:dyDescent="0.3">
      <c r="A79" s="240"/>
      <c r="B79" s="182"/>
      <c r="C79" s="241"/>
      <c r="D79" s="242"/>
      <c r="E79" s="243">
        <v>6</v>
      </c>
      <c r="F79" s="183"/>
      <c r="G79" s="184"/>
      <c r="H79" s="184"/>
      <c r="I79" s="178" t="str">
        <f t="shared" si="9"/>
        <v xml:space="preserve">  </v>
      </c>
      <c r="J79" s="179"/>
      <c r="K79" s="231" t="str">
        <f>+IFERROR(VLOOKUP($J79,'11 FORMULAS'!$B$51:$C$53,2,0),"")</f>
        <v/>
      </c>
      <c r="L79" s="231" t="e">
        <f>+IF(J79="Preventivo","Probabilidad",IF(J79="Detectivo","Probabilidad",IF(#REF!="Correctivo","Impacto","")))</f>
        <v>#REF!</v>
      </c>
      <c r="M79" s="232"/>
      <c r="N79" s="231" t="str">
        <f>+IFERROR(VLOOKUP($M79,'11 FORMULAS'!$B$54:$C$55,2,0),"")</f>
        <v/>
      </c>
      <c r="O79" s="233"/>
      <c r="P79" s="233"/>
      <c r="Q79" s="233"/>
      <c r="R79" s="233"/>
      <c r="S79" s="231" t="str">
        <f t="shared" si="10"/>
        <v/>
      </c>
      <c r="T79" s="231" t="str">
        <f t="shared" si="7"/>
        <v/>
      </c>
      <c r="U79" s="231" t="str">
        <f t="shared" si="8"/>
        <v/>
      </c>
      <c r="V79" s="244"/>
    </row>
    <row r="80" spans="1:26" ht="78.95" customHeight="1" x14ac:dyDescent="0.25">
      <c r="A80" s="228" t="str">
        <f>'2 CONTEXTO E IDENTIFICACIÓN'!A21</f>
        <v>R13</v>
      </c>
      <c r="B80" s="175" t="str">
        <f>+'2 CONTEXTO E IDENTIFICACIÓN'!J21</f>
        <v>Posibilidad de afectación económica y reputacional por pérdidas economicas, de imagen y/o reputacionales. a causa de ingreso de personal sin autorización y falta de control en en los prestamos de documentación y/o activos.</v>
      </c>
      <c r="C80" s="229">
        <f>+'3 PROBABIL E IMPACTO INHERENTE'!E21</f>
        <v>0.6</v>
      </c>
      <c r="D80" s="230">
        <f>+'3 PROBABIL E IMPACTO INHERENTE'!M21</f>
        <v>0.6</v>
      </c>
      <c r="E80" s="246">
        <v>1</v>
      </c>
      <c r="F80" s="176" t="s">
        <v>532</v>
      </c>
      <c r="G80" s="177" t="s">
        <v>430</v>
      </c>
      <c r="H80" s="177" t="s">
        <v>431</v>
      </c>
      <c r="I80" s="178" t="str">
        <f t="shared" si="9"/>
        <v>El(la) funcionario(a) responsable. Utilizar el formato donde se solicita al visitante datos relativos a elementos, dispositivos, equipos que ingresan a la Agencia. Al presentarse que un visitante no suministre datos, informa inmediatamente al superior jerárquico de la situación presentada para la toma de decisiones y seguir las indicaciones de forma inmediata.</v>
      </c>
      <c r="J80" s="179" t="s">
        <v>199</v>
      </c>
      <c r="K80" s="231">
        <f>+IFERROR(VLOOKUP($J80,'11 FORMULAS'!$B$51:$C$53,2,0),"")</f>
        <v>0.25</v>
      </c>
      <c r="L80" s="231" t="str">
        <f>+IF(J80="Preventivo","Probabilidad",IF(J80="Detectivo","Probabilidad",IF(#REF!="Correctivo","Impacto","")))</f>
        <v>Probabilidad</v>
      </c>
      <c r="M80" s="232" t="s">
        <v>211</v>
      </c>
      <c r="N80" s="231">
        <f>+IFERROR(VLOOKUP($M80,'11 FORMULAS'!$B$54:$C$55,2,0),"")</f>
        <v>0.15</v>
      </c>
      <c r="O80" s="233" t="s">
        <v>212</v>
      </c>
      <c r="P80" s="233" t="s">
        <v>288</v>
      </c>
      <c r="Q80" s="233" t="s">
        <v>295</v>
      </c>
      <c r="R80" s="233" t="s">
        <v>204</v>
      </c>
      <c r="S80" s="231">
        <f t="shared" si="10"/>
        <v>0.4</v>
      </c>
      <c r="T80" s="231">
        <f>+IFERROR(C80*S80,"")</f>
        <v>0.24</v>
      </c>
      <c r="U80" s="231">
        <f>+IFERROR(C80-T80,"")</f>
        <v>0.36</v>
      </c>
      <c r="V80" s="234" cm="1">
        <f t="array" ref="V80">LOOKUP(2,1/(U80:U85&lt;&gt;"")*U80:U85)</f>
        <v>0.36</v>
      </c>
      <c r="X80" s="239"/>
      <c r="Y80" s="247"/>
      <c r="Z80" s="247"/>
    </row>
    <row r="81" spans="1:26" ht="32.450000000000003" customHeight="1" x14ac:dyDescent="0.25">
      <c r="A81" s="235"/>
      <c r="B81" s="180"/>
      <c r="C81" s="236"/>
      <c r="D81" s="237"/>
      <c r="E81" s="178">
        <v>2</v>
      </c>
      <c r="F81" s="181"/>
      <c r="G81" s="179"/>
      <c r="H81" s="179"/>
      <c r="I81" s="178" t="str">
        <f t="shared" si="9"/>
        <v xml:space="preserve">  </v>
      </c>
      <c r="J81" s="179"/>
      <c r="K81" s="231" t="str">
        <f>+IFERROR(VLOOKUP($J81,'11 FORMULAS'!$B$51:$C$53,2,0),"")</f>
        <v/>
      </c>
      <c r="L81" s="231" t="e">
        <f>+IF(J81="Preventivo","Probabilidad",IF(J81="Detectivo","Probabilidad",IF(#REF!="Correctivo","Impacto","")))</f>
        <v>#REF!</v>
      </c>
      <c r="M81" s="232"/>
      <c r="N81" s="231" t="str">
        <f>+IFERROR(VLOOKUP($M81,'11 FORMULAS'!$B$54:$C$55,2,0),"")</f>
        <v/>
      </c>
      <c r="O81" s="233"/>
      <c r="P81" s="233"/>
      <c r="Q81" s="233"/>
      <c r="R81" s="233"/>
      <c r="S81" s="231" t="str">
        <f t="shared" si="10"/>
        <v/>
      </c>
      <c r="T81" s="231" t="str">
        <f t="shared" si="7"/>
        <v/>
      </c>
      <c r="U81" s="231" t="str">
        <f t="shared" si="8"/>
        <v/>
      </c>
      <c r="V81" s="238"/>
      <c r="X81" s="239"/>
      <c r="Y81" s="247"/>
      <c r="Z81" s="247"/>
    </row>
    <row r="82" spans="1:26" ht="32.450000000000003" customHeight="1" x14ac:dyDescent="0.25">
      <c r="A82" s="235"/>
      <c r="B82" s="180"/>
      <c r="C82" s="236"/>
      <c r="D82" s="237"/>
      <c r="E82" s="178">
        <v>3</v>
      </c>
      <c r="F82" s="181"/>
      <c r="G82" s="179"/>
      <c r="H82" s="179"/>
      <c r="I82" s="178" t="str">
        <f t="shared" si="9"/>
        <v xml:space="preserve">  </v>
      </c>
      <c r="J82" s="179"/>
      <c r="K82" s="231" t="str">
        <f>+IFERROR(VLOOKUP($J82,'11 FORMULAS'!$B$51:$C$53,2,0),"")</f>
        <v/>
      </c>
      <c r="L82" s="231" t="e">
        <f>+IF(J82="Preventivo","Probabilidad",IF(J82="Detectivo","Probabilidad",IF(#REF!="Correctivo","Impacto","")))</f>
        <v>#REF!</v>
      </c>
      <c r="M82" s="232"/>
      <c r="N82" s="231" t="str">
        <f>+IFERROR(VLOOKUP($M82,'11 FORMULAS'!$B$54:$C$55,2,0),"")</f>
        <v/>
      </c>
      <c r="O82" s="233"/>
      <c r="P82" s="233"/>
      <c r="Q82" s="233"/>
      <c r="R82" s="233"/>
      <c r="S82" s="231" t="str">
        <f t="shared" si="10"/>
        <v/>
      </c>
      <c r="T82" s="231" t="str">
        <f t="shared" si="7"/>
        <v/>
      </c>
      <c r="U82" s="231" t="str">
        <f t="shared" si="8"/>
        <v/>
      </c>
      <c r="V82" s="238"/>
      <c r="X82" s="239"/>
      <c r="Y82" s="247"/>
      <c r="Z82" s="247"/>
    </row>
    <row r="83" spans="1:26" ht="32.450000000000003" customHeight="1" x14ac:dyDescent="0.25">
      <c r="A83" s="235"/>
      <c r="B83" s="180"/>
      <c r="C83" s="236"/>
      <c r="D83" s="237"/>
      <c r="E83" s="178">
        <v>4</v>
      </c>
      <c r="F83" s="181"/>
      <c r="G83" s="179"/>
      <c r="H83" s="179"/>
      <c r="I83" s="178" t="str">
        <f t="shared" si="9"/>
        <v xml:space="preserve">  </v>
      </c>
      <c r="J83" s="179"/>
      <c r="K83" s="231" t="str">
        <f>+IFERROR(VLOOKUP($J83,'11 FORMULAS'!$B$51:$C$53,2,0),"")</f>
        <v/>
      </c>
      <c r="L83" s="231" t="e">
        <f>+IF(J83="Preventivo","Probabilidad",IF(J83="Detectivo","Probabilidad",IF(#REF!="Correctivo","Impacto","")))</f>
        <v>#REF!</v>
      </c>
      <c r="M83" s="232"/>
      <c r="N83" s="231" t="str">
        <f>+IFERROR(VLOOKUP($M83,'11 FORMULAS'!$B$54:$C$55,2,0),"")</f>
        <v/>
      </c>
      <c r="O83" s="233"/>
      <c r="P83" s="233"/>
      <c r="Q83" s="233"/>
      <c r="R83" s="233"/>
      <c r="S83" s="231" t="str">
        <f t="shared" si="10"/>
        <v/>
      </c>
      <c r="T83" s="231" t="str">
        <f t="shared" si="7"/>
        <v/>
      </c>
      <c r="U83" s="231" t="str">
        <f t="shared" si="8"/>
        <v/>
      </c>
      <c r="V83" s="238"/>
      <c r="X83" s="239"/>
      <c r="Y83" s="247"/>
      <c r="Z83" s="247"/>
    </row>
    <row r="84" spans="1:26" ht="32.450000000000003" customHeight="1" x14ac:dyDescent="0.25">
      <c r="A84" s="235"/>
      <c r="B84" s="180"/>
      <c r="C84" s="236"/>
      <c r="D84" s="237"/>
      <c r="E84" s="178">
        <v>5</v>
      </c>
      <c r="F84" s="181"/>
      <c r="G84" s="179"/>
      <c r="H84" s="179"/>
      <c r="I84" s="178" t="str">
        <f t="shared" si="9"/>
        <v xml:space="preserve">  </v>
      </c>
      <c r="J84" s="179"/>
      <c r="K84" s="231" t="str">
        <f>+IFERROR(VLOOKUP($J84,'11 FORMULAS'!$B$51:$C$53,2,0),"")</f>
        <v/>
      </c>
      <c r="L84" s="231" t="e">
        <f>+IF(J84="Preventivo","Probabilidad",IF(J84="Detectivo","Probabilidad",IF(#REF!="Correctivo","Impacto","")))</f>
        <v>#REF!</v>
      </c>
      <c r="M84" s="232"/>
      <c r="N84" s="231" t="str">
        <f>+IFERROR(VLOOKUP($M84,'11 FORMULAS'!$B$54:$C$55,2,0),"")</f>
        <v/>
      </c>
      <c r="O84" s="233"/>
      <c r="P84" s="233"/>
      <c r="Q84" s="233"/>
      <c r="R84" s="233"/>
      <c r="S84" s="231" t="str">
        <f t="shared" si="10"/>
        <v/>
      </c>
      <c r="T84" s="231" t="str">
        <f t="shared" ref="T84:T115" si="11">+IFERROR(C84*S84,"")</f>
        <v/>
      </c>
      <c r="U84" s="231" t="str">
        <f t="shared" ref="U84:U115" si="12">+IFERROR(S84-T84,"")</f>
        <v/>
      </c>
      <c r="V84" s="238"/>
      <c r="X84" s="239"/>
      <c r="Y84" s="247"/>
      <c r="Z84" s="247"/>
    </row>
    <row r="85" spans="1:26" ht="32.450000000000003" customHeight="1" thickBot="1" x14ac:dyDescent="0.3">
      <c r="A85" s="240"/>
      <c r="B85" s="182"/>
      <c r="C85" s="241"/>
      <c r="D85" s="242"/>
      <c r="E85" s="243">
        <v>6</v>
      </c>
      <c r="F85" s="183"/>
      <c r="G85" s="184"/>
      <c r="H85" s="184"/>
      <c r="I85" s="178" t="str">
        <f t="shared" si="9"/>
        <v xml:space="preserve">  </v>
      </c>
      <c r="J85" s="179"/>
      <c r="K85" s="231" t="str">
        <f>+IFERROR(VLOOKUP($J85,'11 FORMULAS'!$B$51:$C$53,2,0),"")</f>
        <v/>
      </c>
      <c r="L85" s="231" t="e">
        <f>+IF(J85="Preventivo","Probabilidad",IF(J85="Detectivo","Probabilidad",IF(#REF!="Correctivo","Impacto","")))</f>
        <v>#REF!</v>
      </c>
      <c r="M85" s="232"/>
      <c r="N85" s="231" t="str">
        <f>+IFERROR(VLOOKUP($M85,'11 FORMULAS'!$B$54:$C$55,2,0),"")</f>
        <v/>
      </c>
      <c r="O85" s="233"/>
      <c r="P85" s="233"/>
      <c r="Q85" s="233"/>
      <c r="R85" s="233"/>
      <c r="S85" s="231" t="str">
        <f t="shared" si="10"/>
        <v/>
      </c>
      <c r="T85" s="231" t="str">
        <f t="shared" si="11"/>
        <v/>
      </c>
      <c r="U85" s="231" t="str">
        <f t="shared" si="12"/>
        <v/>
      </c>
      <c r="V85" s="244"/>
    </row>
    <row r="86" spans="1:26" ht="84.95" customHeight="1" x14ac:dyDescent="0.25">
      <c r="A86" s="228" t="str">
        <f>'2 CONTEXTO E IDENTIFICACIÓN'!A22</f>
        <v>R14</v>
      </c>
      <c r="B86" s="175" t="str">
        <f>+'2 CONTEXTO E IDENTIFICACIÓN'!J22</f>
        <v>Posibilidad de afectación económica y reputacional por susceptible a retrasos en los procesos internos por falta de la información requerida. a causa de  a ingreso de personal no autorizado y falta de control en el préstamo de expedientes.</v>
      </c>
      <c r="C86" s="229">
        <f>+'3 PROBABIL E IMPACTO INHERENTE'!E22</f>
        <v>0.6</v>
      </c>
      <c r="D86" s="230">
        <f>+'3 PROBABIL E IMPACTO INHERENTE'!M22</f>
        <v>0.6</v>
      </c>
      <c r="E86" s="246">
        <v>1</v>
      </c>
      <c r="F86" s="176" t="s">
        <v>429</v>
      </c>
      <c r="G86" s="177" t="s">
        <v>430</v>
      </c>
      <c r="H86" s="177" t="s">
        <v>431</v>
      </c>
      <c r="I86" s="178" t="str">
        <f t="shared" si="9"/>
        <v xml:space="preserve"> El(la) funcionario(a) responsable. Utilizar el formato donde se solicita al visitante datos relativos a elementos, dispositivos, equipos que ingresan a la Agencia. Al presentarse que un visitante no suministre datos, informa inmediatamente al superior jerárquico de la situación presentada para la toma de decisiones y seguir las indicaciones de forma inmediata.</v>
      </c>
      <c r="J86" s="179" t="s">
        <v>199</v>
      </c>
      <c r="K86" s="231">
        <f>+IFERROR(VLOOKUP($J86,'11 FORMULAS'!$B$51:$C$53,2,0),"")</f>
        <v>0.25</v>
      </c>
      <c r="L86" s="231" t="str">
        <f>+IF(J86="Preventivo","Probabilidad",IF(J86="Detectivo","Probabilidad",IF(#REF!="Correctivo","Impacto","")))</f>
        <v>Probabilidad</v>
      </c>
      <c r="M86" s="232" t="s">
        <v>211</v>
      </c>
      <c r="N86" s="231">
        <f>+IFERROR(VLOOKUP($M86,'11 FORMULAS'!$B$54:$C$55,2,0),"")</f>
        <v>0.15</v>
      </c>
      <c r="O86" s="233" t="s">
        <v>201</v>
      </c>
      <c r="P86" s="233" t="s">
        <v>288</v>
      </c>
      <c r="Q86" s="233" t="s">
        <v>203</v>
      </c>
      <c r="R86" s="233" t="s">
        <v>204</v>
      </c>
      <c r="S86" s="231">
        <f t="shared" si="10"/>
        <v>0.4</v>
      </c>
      <c r="T86" s="231">
        <f>+IFERROR(C86*S86,"")</f>
        <v>0.24</v>
      </c>
      <c r="U86" s="231">
        <f>+IFERROR(C86-T86,"")</f>
        <v>0.36</v>
      </c>
      <c r="V86" s="234" cm="1">
        <f t="array" ref="V86">LOOKUP(2,1/(U86:U91&lt;&gt;"")*U86:U91)</f>
        <v>0.36</v>
      </c>
      <c r="X86" s="239"/>
      <c r="Y86" s="247"/>
      <c r="Z86" s="247"/>
    </row>
    <row r="87" spans="1:26" ht="32.450000000000003" customHeight="1" x14ac:dyDescent="0.25">
      <c r="A87" s="235"/>
      <c r="B87" s="180"/>
      <c r="C87" s="236"/>
      <c r="D87" s="237"/>
      <c r="E87" s="178">
        <v>2</v>
      </c>
      <c r="F87" s="181"/>
      <c r="G87" s="179"/>
      <c r="H87" s="179"/>
      <c r="I87" s="178" t="str">
        <f t="shared" si="9"/>
        <v xml:space="preserve">  </v>
      </c>
      <c r="J87" s="179"/>
      <c r="K87" s="231" t="str">
        <f>+IFERROR(VLOOKUP($J87,'11 FORMULAS'!$B$51:$C$53,2,0),"")</f>
        <v/>
      </c>
      <c r="L87" s="231" t="e">
        <f>+IF(J87="Preventivo","Probabilidad",IF(J87="Detectivo","Probabilidad",IF(#REF!="Correctivo","Impacto","")))</f>
        <v>#REF!</v>
      </c>
      <c r="M87" s="232"/>
      <c r="N87" s="231" t="str">
        <f>+IFERROR(VLOOKUP($M87,'11 FORMULAS'!$B$54:$C$55,2,0),"")</f>
        <v/>
      </c>
      <c r="O87" s="233"/>
      <c r="P87" s="233"/>
      <c r="Q87" s="233"/>
      <c r="R87" s="233"/>
      <c r="S87" s="231" t="str">
        <f t="shared" si="10"/>
        <v/>
      </c>
      <c r="T87" s="231" t="str">
        <f t="shared" si="11"/>
        <v/>
      </c>
      <c r="U87" s="231" t="str">
        <f t="shared" si="12"/>
        <v/>
      </c>
      <c r="V87" s="238"/>
      <c r="X87" s="239"/>
      <c r="Y87" s="247"/>
      <c r="Z87" s="247"/>
    </row>
    <row r="88" spans="1:26" ht="32.450000000000003" customHeight="1" x14ac:dyDescent="0.25">
      <c r="A88" s="235"/>
      <c r="B88" s="180"/>
      <c r="C88" s="236"/>
      <c r="D88" s="237"/>
      <c r="E88" s="178">
        <v>3</v>
      </c>
      <c r="F88" s="181"/>
      <c r="G88" s="179"/>
      <c r="H88" s="179"/>
      <c r="I88" s="178" t="str">
        <f t="shared" si="9"/>
        <v xml:space="preserve">  </v>
      </c>
      <c r="J88" s="179"/>
      <c r="K88" s="231" t="str">
        <f>+IFERROR(VLOOKUP($J88,'11 FORMULAS'!$B$51:$C$53,2,0),"")</f>
        <v/>
      </c>
      <c r="L88" s="231" t="e">
        <f>+IF(J88="Preventivo","Probabilidad",IF(J88="Detectivo","Probabilidad",IF(#REF!="Correctivo","Impacto","")))</f>
        <v>#REF!</v>
      </c>
      <c r="M88" s="232"/>
      <c r="N88" s="231" t="str">
        <f>+IFERROR(VLOOKUP($M88,'11 FORMULAS'!$B$54:$C$55,2,0),"")</f>
        <v/>
      </c>
      <c r="O88" s="233"/>
      <c r="P88" s="233"/>
      <c r="Q88" s="233"/>
      <c r="R88" s="233"/>
      <c r="S88" s="231" t="str">
        <f t="shared" si="10"/>
        <v/>
      </c>
      <c r="T88" s="231" t="str">
        <f t="shared" si="11"/>
        <v/>
      </c>
      <c r="U88" s="231" t="str">
        <f t="shared" si="12"/>
        <v/>
      </c>
      <c r="V88" s="238"/>
      <c r="X88" s="239"/>
      <c r="Y88" s="247"/>
      <c r="Z88" s="247"/>
    </row>
    <row r="89" spans="1:26" ht="32.450000000000003" customHeight="1" x14ac:dyDescent="0.25">
      <c r="A89" s="235"/>
      <c r="B89" s="180"/>
      <c r="C89" s="236"/>
      <c r="D89" s="237"/>
      <c r="E89" s="178">
        <v>4</v>
      </c>
      <c r="F89" s="181"/>
      <c r="G89" s="179"/>
      <c r="H89" s="179"/>
      <c r="I89" s="178" t="str">
        <f t="shared" si="9"/>
        <v xml:space="preserve">  </v>
      </c>
      <c r="J89" s="179"/>
      <c r="K89" s="231" t="str">
        <f>+IFERROR(VLOOKUP($J89,'11 FORMULAS'!$B$51:$C$53,2,0),"")</f>
        <v/>
      </c>
      <c r="L89" s="231" t="e">
        <f>+IF(J89="Preventivo","Probabilidad",IF(J89="Detectivo","Probabilidad",IF(#REF!="Correctivo","Impacto","")))</f>
        <v>#REF!</v>
      </c>
      <c r="M89" s="232"/>
      <c r="N89" s="231" t="str">
        <f>+IFERROR(VLOOKUP($M89,'11 FORMULAS'!$B$54:$C$55,2,0),"")</f>
        <v/>
      </c>
      <c r="O89" s="233"/>
      <c r="P89" s="233"/>
      <c r="Q89" s="233"/>
      <c r="R89" s="233"/>
      <c r="S89" s="231" t="str">
        <f t="shared" si="10"/>
        <v/>
      </c>
      <c r="T89" s="231" t="str">
        <f t="shared" si="11"/>
        <v/>
      </c>
      <c r="U89" s="231" t="str">
        <f t="shared" si="12"/>
        <v/>
      </c>
      <c r="V89" s="238"/>
      <c r="X89" s="239"/>
      <c r="Y89" s="247"/>
      <c r="Z89" s="247"/>
    </row>
    <row r="90" spans="1:26" ht="32.450000000000003" customHeight="1" x14ac:dyDescent="0.25">
      <c r="A90" s="235"/>
      <c r="B90" s="180"/>
      <c r="C90" s="236"/>
      <c r="D90" s="237"/>
      <c r="E90" s="178">
        <v>5</v>
      </c>
      <c r="F90" s="181"/>
      <c r="G90" s="179"/>
      <c r="H90" s="179"/>
      <c r="I90" s="178" t="str">
        <f t="shared" si="9"/>
        <v xml:space="preserve">  </v>
      </c>
      <c r="J90" s="179"/>
      <c r="K90" s="231" t="str">
        <f>+IFERROR(VLOOKUP($J90,'11 FORMULAS'!$B$51:$C$53,2,0),"")</f>
        <v/>
      </c>
      <c r="L90" s="231" t="e">
        <f>+IF(J90="Preventivo","Probabilidad",IF(J90="Detectivo","Probabilidad",IF(#REF!="Correctivo","Impacto","")))</f>
        <v>#REF!</v>
      </c>
      <c r="M90" s="232"/>
      <c r="N90" s="231" t="str">
        <f>+IFERROR(VLOOKUP($M90,'11 FORMULAS'!$B$54:$C$55,2,0),"")</f>
        <v/>
      </c>
      <c r="O90" s="233"/>
      <c r="P90" s="233"/>
      <c r="Q90" s="233"/>
      <c r="R90" s="233"/>
      <c r="S90" s="231" t="str">
        <f t="shared" si="10"/>
        <v/>
      </c>
      <c r="T90" s="231" t="str">
        <f t="shared" si="11"/>
        <v/>
      </c>
      <c r="U90" s="231" t="str">
        <f t="shared" si="12"/>
        <v/>
      </c>
      <c r="V90" s="238"/>
      <c r="X90" s="239"/>
      <c r="Y90" s="247"/>
      <c r="Z90" s="247"/>
    </row>
    <row r="91" spans="1:26" ht="32.450000000000003" customHeight="1" thickBot="1" x14ac:dyDescent="0.3">
      <c r="A91" s="240"/>
      <c r="B91" s="182"/>
      <c r="C91" s="241"/>
      <c r="D91" s="242"/>
      <c r="E91" s="243">
        <v>6</v>
      </c>
      <c r="F91" s="183"/>
      <c r="G91" s="184"/>
      <c r="H91" s="184"/>
      <c r="I91" s="178" t="str">
        <f t="shared" si="9"/>
        <v xml:space="preserve">  </v>
      </c>
      <c r="J91" s="179"/>
      <c r="K91" s="231" t="str">
        <f>+IFERROR(VLOOKUP($J91,'11 FORMULAS'!$B$51:$C$53,2,0),"")</f>
        <v/>
      </c>
      <c r="L91" s="231" t="e">
        <f>+IF(J91="Preventivo","Probabilidad",IF(J91="Detectivo","Probabilidad",IF(#REF!="Correctivo","Impacto","")))</f>
        <v>#REF!</v>
      </c>
      <c r="M91" s="232"/>
      <c r="N91" s="231" t="str">
        <f>+IFERROR(VLOOKUP($M91,'11 FORMULAS'!$B$54:$C$55,2,0),"")</f>
        <v/>
      </c>
      <c r="O91" s="233"/>
      <c r="P91" s="233"/>
      <c r="Q91" s="233"/>
      <c r="R91" s="233"/>
      <c r="S91" s="231" t="str">
        <f t="shared" si="10"/>
        <v/>
      </c>
      <c r="T91" s="231" t="str">
        <f t="shared" si="11"/>
        <v/>
      </c>
      <c r="U91" s="231" t="str">
        <f t="shared" si="12"/>
        <v/>
      </c>
      <c r="V91" s="244"/>
    </row>
    <row r="92" spans="1:26" ht="104.1" customHeight="1" x14ac:dyDescent="0.25">
      <c r="A92" s="228" t="str">
        <f>'2 CONTEXTO E IDENTIFICACIÓN'!A23</f>
        <v>R15</v>
      </c>
      <c r="B92" s="175" t="str">
        <f>+'2 CONTEXTO E IDENTIFICACIÓN'!J23</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C92" s="229">
        <f>+'3 PROBABIL E IMPACTO INHERENTE'!E23</f>
        <v>0.8</v>
      </c>
      <c r="D92" s="230">
        <f>+'3 PROBABIL E IMPACTO INHERENTE'!M23</f>
        <v>0.6</v>
      </c>
      <c r="E92" s="246">
        <v>1</v>
      </c>
      <c r="F92" s="176" t="s">
        <v>432</v>
      </c>
      <c r="G92" s="177" t="s">
        <v>433</v>
      </c>
      <c r="H92" s="177" t="s">
        <v>434</v>
      </c>
      <c r="I92" s="178" t="str">
        <f t="shared" si="9"/>
        <v>El(la) profesional encargado(a) de gestionar las PQRSD.
Responsable técnico programación alarma: El(la) funcionario tecnico responsable de GIT de la Tecnologias de la información. Alarma programada en el Sistema de gestión documental de la  entidad, para el envio a los colaboradores con el fin de recordar el plazo y tiempos de respuesta para tramitar la PQRSD. Esta se envia en dos oportunidades a los colaboradores resposable del tramite de la PQRSD durante la jornada laboral. En caso de presentarse alguna novedad con la notificación de la alarma, el proceso de Servicios al Ciudadano comunica al área de Gestión de Tecnologías de la Información, por medio de los diferentes canales de comunicación habilitados para el reporte de dichas inconsistencias, para su revisión y solución. Además, desde la cuenta de PQRSD se envía un recordatorio por correo electrónico al servidor público encargado, detallando el plazo y los tiempos de respuesta de la solicitud.</v>
      </c>
      <c r="J92" s="179" t="s">
        <v>199</v>
      </c>
      <c r="K92" s="231">
        <f>+IFERROR(VLOOKUP($J92,'11 FORMULAS'!$B$51:$C$53,2,0),"")</f>
        <v>0.25</v>
      </c>
      <c r="L92" s="231" t="str">
        <f>+IF(J92="Preventivo","Probabilidad",IF(J92="Detectivo","Probabilidad",IF(#REF!="Correctivo","Impacto","")))</f>
        <v>Probabilidad</v>
      </c>
      <c r="M92" s="232" t="s">
        <v>211</v>
      </c>
      <c r="N92" s="231">
        <f>+IFERROR(VLOOKUP($M92,'11 FORMULAS'!$B$54:$C$55,2,0),"")</f>
        <v>0.15</v>
      </c>
      <c r="O92" s="233" t="s">
        <v>212</v>
      </c>
      <c r="P92" s="233" t="s">
        <v>286</v>
      </c>
      <c r="Q92" s="233" t="s">
        <v>214</v>
      </c>
      <c r="R92" s="233" t="s">
        <v>223</v>
      </c>
      <c r="S92" s="231">
        <f t="shared" si="10"/>
        <v>0.4</v>
      </c>
      <c r="T92" s="231">
        <f>+IFERROR(C92*S92,"")</f>
        <v>0.32000000000000006</v>
      </c>
      <c r="U92" s="231">
        <f>+IFERROR(C92-T92,"")</f>
        <v>0.48</v>
      </c>
      <c r="V92" s="234" cm="1">
        <f t="array" ref="V92">LOOKUP(2,1/(U92:U97&lt;&gt;"")*U92:U97)</f>
        <v>0.48</v>
      </c>
      <c r="X92" s="239"/>
      <c r="Y92" s="247"/>
      <c r="Z92" s="247"/>
    </row>
    <row r="93" spans="1:26" ht="32.450000000000003" customHeight="1" x14ac:dyDescent="0.25">
      <c r="A93" s="235"/>
      <c r="B93" s="180"/>
      <c r="C93" s="236"/>
      <c r="D93" s="237"/>
      <c r="E93" s="178">
        <v>2</v>
      </c>
      <c r="F93" s="181"/>
      <c r="G93" s="179"/>
      <c r="H93" s="179"/>
      <c r="I93" s="178" t="str">
        <f t="shared" si="9"/>
        <v xml:space="preserve">  </v>
      </c>
      <c r="J93" s="179"/>
      <c r="K93" s="231" t="str">
        <f>+IFERROR(VLOOKUP($J93,'11 FORMULAS'!$B$51:$C$53,2,0),"")</f>
        <v/>
      </c>
      <c r="L93" s="231" t="e">
        <f>+IF(J93="Preventivo","Probabilidad",IF(J93="Detectivo","Probabilidad",IF(#REF!="Correctivo","Impacto","")))</f>
        <v>#REF!</v>
      </c>
      <c r="M93" s="232"/>
      <c r="N93" s="231" t="str">
        <f>+IFERROR(VLOOKUP($M93,'11 FORMULAS'!$B$54:$C$55,2,0),"")</f>
        <v/>
      </c>
      <c r="O93" s="233"/>
      <c r="P93" s="233"/>
      <c r="Q93" s="233"/>
      <c r="R93" s="233"/>
      <c r="S93" s="231" t="str">
        <f t="shared" si="10"/>
        <v/>
      </c>
      <c r="T93" s="231" t="str">
        <f t="shared" si="11"/>
        <v/>
      </c>
      <c r="U93" s="231" t="str">
        <f t="shared" si="12"/>
        <v/>
      </c>
      <c r="V93" s="238"/>
      <c r="X93" s="239"/>
      <c r="Y93" s="247"/>
      <c r="Z93" s="247"/>
    </row>
    <row r="94" spans="1:26" ht="32.450000000000003" customHeight="1" x14ac:dyDescent="0.25">
      <c r="A94" s="235"/>
      <c r="B94" s="180"/>
      <c r="C94" s="236"/>
      <c r="D94" s="237"/>
      <c r="E94" s="178">
        <v>3</v>
      </c>
      <c r="F94" s="181"/>
      <c r="G94" s="179"/>
      <c r="H94" s="179"/>
      <c r="I94" s="178" t="str">
        <f t="shared" si="9"/>
        <v xml:space="preserve">  </v>
      </c>
      <c r="J94" s="179"/>
      <c r="K94" s="231" t="str">
        <f>+IFERROR(VLOOKUP($J94,'11 FORMULAS'!$B$51:$C$53,2,0),"")</f>
        <v/>
      </c>
      <c r="L94" s="231" t="e">
        <f>+IF(J94="Preventivo","Probabilidad",IF(J94="Detectivo","Probabilidad",IF(#REF!="Correctivo","Impacto","")))</f>
        <v>#REF!</v>
      </c>
      <c r="M94" s="232"/>
      <c r="N94" s="231" t="str">
        <f>+IFERROR(VLOOKUP($M94,'11 FORMULAS'!$B$54:$C$55,2,0),"")</f>
        <v/>
      </c>
      <c r="O94" s="233"/>
      <c r="P94" s="233"/>
      <c r="Q94" s="233"/>
      <c r="R94" s="233"/>
      <c r="S94" s="231" t="str">
        <f t="shared" si="10"/>
        <v/>
      </c>
      <c r="T94" s="231" t="str">
        <f t="shared" si="11"/>
        <v/>
      </c>
      <c r="U94" s="231" t="str">
        <f t="shared" si="12"/>
        <v/>
      </c>
      <c r="V94" s="238"/>
      <c r="X94" s="239"/>
      <c r="Y94" s="247"/>
      <c r="Z94" s="247"/>
    </row>
    <row r="95" spans="1:26" ht="32.450000000000003" customHeight="1" x14ac:dyDescent="0.25">
      <c r="A95" s="235"/>
      <c r="B95" s="180"/>
      <c r="C95" s="236"/>
      <c r="D95" s="237"/>
      <c r="E95" s="178">
        <v>4</v>
      </c>
      <c r="F95" s="181"/>
      <c r="G95" s="179"/>
      <c r="H95" s="179"/>
      <c r="I95" s="178" t="str">
        <f t="shared" si="9"/>
        <v xml:space="preserve">  </v>
      </c>
      <c r="J95" s="179"/>
      <c r="K95" s="231" t="str">
        <f>+IFERROR(VLOOKUP($J95,'11 FORMULAS'!$B$51:$C$53,2,0),"")</f>
        <v/>
      </c>
      <c r="L95" s="231" t="e">
        <f>+IF(J95="Preventivo","Probabilidad",IF(J95="Detectivo","Probabilidad",IF(#REF!="Correctivo","Impacto","")))</f>
        <v>#REF!</v>
      </c>
      <c r="M95" s="232"/>
      <c r="N95" s="231" t="str">
        <f>+IFERROR(VLOOKUP($M95,'11 FORMULAS'!$B$54:$C$55,2,0),"")</f>
        <v/>
      </c>
      <c r="O95" s="233"/>
      <c r="P95" s="233"/>
      <c r="Q95" s="233"/>
      <c r="R95" s="233"/>
      <c r="S95" s="231" t="str">
        <f t="shared" si="10"/>
        <v/>
      </c>
      <c r="T95" s="231" t="str">
        <f t="shared" si="11"/>
        <v/>
      </c>
      <c r="U95" s="231" t="str">
        <f t="shared" si="12"/>
        <v/>
      </c>
      <c r="V95" s="238"/>
      <c r="X95" s="239"/>
      <c r="Y95" s="247"/>
      <c r="Z95" s="247"/>
    </row>
    <row r="96" spans="1:26" ht="32.450000000000003" customHeight="1" x14ac:dyDescent="0.25">
      <c r="A96" s="235"/>
      <c r="B96" s="180"/>
      <c r="C96" s="236"/>
      <c r="D96" s="237"/>
      <c r="E96" s="178">
        <v>5</v>
      </c>
      <c r="F96" s="181"/>
      <c r="G96" s="179"/>
      <c r="H96" s="179"/>
      <c r="I96" s="178" t="str">
        <f t="shared" si="9"/>
        <v xml:space="preserve">  </v>
      </c>
      <c r="J96" s="179"/>
      <c r="K96" s="231" t="str">
        <f>+IFERROR(VLOOKUP($J96,'11 FORMULAS'!$B$51:$C$53,2,0),"")</f>
        <v/>
      </c>
      <c r="L96" s="231" t="e">
        <f>+IF(J96="Preventivo","Probabilidad",IF(J96="Detectivo","Probabilidad",IF(#REF!="Correctivo","Impacto","")))</f>
        <v>#REF!</v>
      </c>
      <c r="M96" s="232"/>
      <c r="N96" s="231" t="str">
        <f>+IFERROR(VLOOKUP($M96,'11 FORMULAS'!$B$54:$C$55,2,0),"")</f>
        <v/>
      </c>
      <c r="O96" s="233"/>
      <c r="P96" s="233"/>
      <c r="Q96" s="233"/>
      <c r="R96" s="233"/>
      <c r="S96" s="231" t="str">
        <f t="shared" si="10"/>
        <v/>
      </c>
      <c r="T96" s="231" t="str">
        <f t="shared" si="11"/>
        <v/>
      </c>
      <c r="U96" s="231" t="str">
        <f t="shared" si="12"/>
        <v/>
      </c>
      <c r="V96" s="238"/>
      <c r="X96" s="239"/>
      <c r="Y96" s="247"/>
      <c r="Z96" s="247"/>
    </row>
    <row r="97" spans="1:26" ht="32.450000000000003" customHeight="1" thickBot="1" x14ac:dyDescent="0.3">
      <c r="A97" s="240"/>
      <c r="B97" s="182"/>
      <c r="C97" s="241"/>
      <c r="D97" s="242"/>
      <c r="E97" s="243">
        <v>6</v>
      </c>
      <c r="F97" s="183"/>
      <c r="G97" s="184"/>
      <c r="H97" s="184"/>
      <c r="I97" s="178" t="str">
        <f t="shared" si="9"/>
        <v xml:space="preserve">  </v>
      </c>
      <c r="J97" s="179"/>
      <c r="K97" s="231" t="str">
        <f>+IFERROR(VLOOKUP($J97,'11 FORMULAS'!$B$51:$C$53,2,0),"")</f>
        <v/>
      </c>
      <c r="L97" s="231" t="e">
        <f>+IF(J97="Preventivo","Probabilidad",IF(J97="Detectivo","Probabilidad",IF(#REF!="Correctivo","Impacto","")))</f>
        <v>#REF!</v>
      </c>
      <c r="M97" s="232"/>
      <c r="N97" s="231" t="str">
        <f>+IFERROR(VLOOKUP($M97,'11 FORMULAS'!$B$54:$C$55,2,0),"")</f>
        <v/>
      </c>
      <c r="O97" s="233"/>
      <c r="P97" s="233"/>
      <c r="Q97" s="233"/>
      <c r="R97" s="233"/>
      <c r="S97" s="231" t="str">
        <f t="shared" si="10"/>
        <v/>
      </c>
      <c r="T97" s="231" t="str">
        <f t="shared" si="11"/>
        <v/>
      </c>
      <c r="U97" s="231" t="str">
        <f t="shared" si="12"/>
        <v/>
      </c>
      <c r="V97" s="244"/>
    </row>
    <row r="98" spans="1:26" ht="32.450000000000003" customHeight="1" x14ac:dyDescent="0.25">
      <c r="A98" s="228" t="str">
        <f>'2 CONTEXTO E IDENTIFICACIÓN'!A24</f>
        <v>R16</v>
      </c>
      <c r="B98" s="175" t="str">
        <f>+'2 CONTEXTO E IDENTIFICACIÓN'!J24</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C98" s="229">
        <f>+'3 PROBABIL E IMPACTO INHERENTE'!E24</f>
        <v>0.4</v>
      </c>
      <c r="D98" s="230">
        <f>+'3 PROBABIL E IMPACTO INHERENTE'!M24</f>
        <v>0.4</v>
      </c>
      <c r="E98" s="246">
        <v>1</v>
      </c>
      <c r="F98" s="176" t="s">
        <v>435</v>
      </c>
      <c r="G98" s="177" t="s">
        <v>436</v>
      </c>
      <c r="H98" s="177" t="s">
        <v>437</v>
      </c>
      <c r="I98" s="178" t="str">
        <f t="shared" si="9"/>
        <v xml:space="preserve"> El(la) profesional especializado(a) con funciones de tesorería. Gestionar las solicitudes de PAC de las direcciones / dependencias ejecutoras ante el Ministerio de Hacienda. En caso de no ser aprobadas las solicitudes de PAC en su totalidad o se requiera de una solicitud adicional de PAC, gestiona en SIIF Nación una nueva solicitud como  PAC extraordinario. De no ser aprobado el PAC extraordinario, se da prioridad al pago de los compromisos próximos a vencerse.</v>
      </c>
      <c r="J98" s="179" t="s">
        <v>199</v>
      </c>
      <c r="K98" s="231">
        <f>+IFERROR(VLOOKUP($J98,'11 FORMULAS'!$B$51:$C$53,2,0),"")</f>
        <v>0.25</v>
      </c>
      <c r="L98" s="231" t="str">
        <f>+IF(J98="Preventivo","Probabilidad",IF(J98="Detectivo","Probabilidad",IF(#REF!="Correctivo","Impacto","")))</f>
        <v>Probabilidad</v>
      </c>
      <c r="M98" s="232" t="s">
        <v>211</v>
      </c>
      <c r="N98" s="231">
        <f>+IFERROR(VLOOKUP($M98,'11 FORMULAS'!$B$54:$C$55,2,0),"")</f>
        <v>0.15</v>
      </c>
      <c r="O98" s="233" t="s">
        <v>222</v>
      </c>
      <c r="P98" s="233" t="s">
        <v>291</v>
      </c>
      <c r="Q98" s="233" t="s">
        <v>203</v>
      </c>
      <c r="R98" s="233" t="s">
        <v>223</v>
      </c>
      <c r="S98" s="231">
        <f t="shared" si="10"/>
        <v>0.4</v>
      </c>
      <c r="T98" s="231">
        <f>+IFERROR(C98*S98,"")</f>
        <v>0.16000000000000003</v>
      </c>
      <c r="U98" s="231">
        <f>+IFERROR(C98-T98,"")</f>
        <v>0.24</v>
      </c>
      <c r="V98" s="234" cm="1">
        <f t="array" ref="V98">LOOKUP(2,1/(U98:U103&lt;&gt;"")*U98:U103)</f>
        <v>0.14399999999999999</v>
      </c>
      <c r="X98" s="239"/>
      <c r="Y98" s="247"/>
      <c r="Z98" s="247"/>
    </row>
    <row r="99" spans="1:26" ht="56.1" customHeight="1" x14ac:dyDescent="0.25">
      <c r="A99" s="235"/>
      <c r="B99" s="180"/>
      <c r="C99" s="236"/>
      <c r="D99" s="237"/>
      <c r="E99" s="178">
        <v>2</v>
      </c>
      <c r="F99" s="181" t="s">
        <v>435</v>
      </c>
      <c r="G99" s="179" t="s">
        <v>438</v>
      </c>
      <c r="H99" s="179" t="s">
        <v>439</v>
      </c>
      <c r="I99" s="178" t="str">
        <f t="shared" si="9"/>
        <v xml:space="preserve"> El(la) profesional especializado(a) con funciones de tesorería. Realizar seguimiento a las solicitudes y ejecución de PAC. De no obtenerse el radicado de cuentas por pagar pendientes para las cuales las áreas solicitaron PAC, se dará trámite a aquellas que ya se encuentren radicadas en DAF, aún sin haber tenido solicitud de PAC previa.</v>
      </c>
      <c r="J99" s="179" t="s">
        <v>199</v>
      </c>
      <c r="K99" s="231">
        <f>+IFERROR(VLOOKUP($J99,'11 FORMULAS'!$B$51:$C$53,2,0),"")</f>
        <v>0.25</v>
      </c>
      <c r="L99" s="231" t="str">
        <f>+IF(J99="Preventivo","Probabilidad",IF(J99="Detectivo","Probabilidad",IF(#REF!="Correctivo","Impacto","")))</f>
        <v>Probabilidad</v>
      </c>
      <c r="M99" s="232" t="s">
        <v>211</v>
      </c>
      <c r="N99" s="231">
        <f>+IFERROR(VLOOKUP($M99,'11 FORMULAS'!$B$54:$C$55,2,0),"")</f>
        <v>0.15</v>
      </c>
      <c r="O99" s="233" t="s">
        <v>222</v>
      </c>
      <c r="P99" s="233" t="s">
        <v>291</v>
      </c>
      <c r="Q99" s="233" t="s">
        <v>203</v>
      </c>
      <c r="R99" s="233" t="s">
        <v>223</v>
      </c>
      <c r="S99" s="231">
        <f t="shared" si="10"/>
        <v>0.4</v>
      </c>
      <c r="T99" s="231">
        <f>+IFERROR(U98*S99,"")</f>
        <v>9.6000000000000002E-2</v>
      </c>
      <c r="U99" s="231">
        <f>+IFERROR(U98-T99,"")</f>
        <v>0.14399999999999999</v>
      </c>
      <c r="V99" s="238"/>
      <c r="X99" s="239"/>
      <c r="Y99" s="247"/>
      <c r="Z99" s="247"/>
    </row>
    <row r="100" spans="1:26" ht="32.450000000000003" customHeight="1" x14ac:dyDescent="0.25">
      <c r="A100" s="235"/>
      <c r="B100" s="180"/>
      <c r="C100" s="236"/>
      <c r="D100" s="237"/>
      <c r="E100" s="178">
        <v>3</v>
      </c>
      <c r="F100" s="181"/>
      <c r="G100" s="179"/>
      <c r="H100" s="179"/>
      <c r="I100" s="178" t="str">
        <f t="shared" si="9"/>
        <v xml:space="preserve">  </v>
      </c>
      <c r="J100" s="179"/>
      <c r="K100" s="231" t="str">
        <f>+IFERROR(VLOOKUP($J100,'11 FORMULAS'!$B$51:$C$53,2,0),"")</f>
        <v/>
      </c>
      <c r="L100" s="231" t="e">
        <f>+IF(J100="Preventivo","Probabilidad",IF(J100="Detectivo","Probabilidad",IF(#REF!="Correctivo","Impacto","")))</f>
        <v>#REF!</v>
      </c>
      <c r="M100" s="232"/>
      <c r="N100" s="231" t="str">
        <f>+IFERROR(VLOOKUP($M100,'11 FORMULAS'!$B$54:$C$55,2,0),"")</f>
        <v/>
      </c>
      <c r="O100" s="233"/>
      <c r="P100" s="233"/>
      <c r="Q100" s="233"/>
      <c r="R100" s="233"/>
      <c r="S100" s="231" t="str">
        <f t="shared" si="10"/>
        <v/>
      </c>
      <c r="T100" s="231" t="str">
        <f t="shared" si="11"/>
        <v/>
      </c>
      <c r="U100" s="231" t="str">
        <f t="shared" si="12"/>
        <v/>
      </c>
      <c r="V100" s="238"/>
      <c r="X100" s="239"/>
      <c r="Y100" s="247"/>
      <c r="Z100" s="247"/>
    </row>
    <row r="101" spans="1:26" ht="32.450000000000003" customHeight="1" x14ac:dyDescent="0.25">
      <c r="A101" s="235"/>
      <c r="B101" s="180"/>
      <c r="C101" s="236"/>
      <c r="D101" s="237"/>
      <c r="E101" s="178">
        <v>4</v>
      </c>
      <c r="F101" s="181"/>
      <c r="G101" s="179"/>
      <c r="H101" s="179"/>
      <c r="I101" s="178" t="str">
        <f t="shared" si="9"/>
        <v xml:space="preserve">  </v>
      </c>
      <c r="J101" s="179"/>
      <c r="K101" s="231" t="str">
        <f>+IFERROR(VLOOKUP($J101,'11 FORMULAS'!$B$51:$C$53,2,0),"")</f>
        <v/>
      </c>
      <c r="L101" s="231" t="e">
        <f>+IF(J101="Preventivo","Probabilidad",IF(J101="Detectivo","Probabilidad",IF(#REF!="Correctivo","Impacto","")))</f>
        <v>#REF!</v>
      </c>
      <c r="M101" s="232"/>
      <c r="N101" s="231" t="str">
        <f>+IFERROR(VLOOKUP($M101,'11 FORMULAS'!$B$54:$C$55,2,0),"")</f>
        <v/>
      </c>
      <c r="O101" s="233"/>
      <c r="P101" s="233"/>
      <c r="Q101" s="233"/>
      <c r="R101" s="233"/>
      <c r="S101" s="231" t="str">
        <f t="shared" si="10"/>
        <v/>
      </c>
      <c r="T101" s="231" t="str">
        <f t="shared" si="11"/>
        <v/>
      </c>
      <c r="U101" s="231" t="str">
        <f t="shared" si="12"/>
        <v/>
      </c>
      <c r="V101" s="238"/>
      <c r="X101" s="239"/>
      <c r="Y101" s="247"/>
      <c r="Z101" s="247"/>
    </row>
    <row r="102" spans="1:26" ht="32.450000000000003" customHeight="1" x14ac:dyDescent="0.25">
      <c r="A102" s="235"/>
      <c r="B102" s="180"/>
      <c r="C102" s="236"/>
      <c r="D102" s="237"/>
      <c r="E102" s="178">
        <v>5</v>
      </c>
      <c r="F102" s="181"/>
      <c r="G102" s="179"/>
      <c r="H102" s="179"/>
      <c r="I102" s="178" t="str">
        <f t="shared" si="9"/>
        <v xml:space="preserve">  </v>
      </c>
      <c r="J102" s="179"/>
      <c r="K102" s="231" t="str">
        <f>+IFERROR(VLOOKUP($J102,'11 FORMULAS'!$B$51:$C$53,2,0),"")</f>
        <v/>
      </c>
      <c r="L102" s="231" t="e">
        <f>+IF(J102="Preventivo","Probabilidad",IF(J102="Detectivo","Probabilidad",IF(#REF!="Correctivo","Impacto","")))</f>
        <v>#REF!</v>
      </c>
      <c r="M102" s="232"/>
      <c r="N102" s="231" t="str">
        <f>+IFERROR(VLOOKUP($M102,'11 FORMULAS'!$B$54:$C$55,2,0),"")</f>
        <v/>
      </c>
      <c r="O102" s="233"/>
      <c r="P102" s="233"/>
      <c r="Q102" s="233"/>
      <c r="R102" s="233"/>
      <c r="S102" s="231" t="str">
        <f t="shared" si="10"/>
        <v/>
      </c>
      <c r="T102" s="231" t="str">
        <f t="shared" si="11"/>
        <v/>
      </c>
      <c r="U102" s="231" t="str">
        <f t="shared" si="12"/>
        <v/>
      </c>
      <c r="V102" s="238"/>
      <c r="X102" s="239"/>
      <c r="Y102" s="247"/>
      <c r="Z102" s="247"/>
    </row>
    <row r="103" spans="1:26" ht="32.450000000000003" customHeight="1" thickBot="1" x14ac:dyDescent="0.3">
      <c r="A103" s="240"/>
      <c r="B103" s="182"/>
      <c r="C103" s="241"/>
      <c r="D103" s="242"/>
      <c r="E103" s="243">
        <v>6</v>
      </c>
      <c r="F103" s="183"/>
      <c r="G103" s="184"/>
      <c r="H103" s="184"/>
      <c r="I103" s="178" t="str">
        <f t="shared" si="9"/>
        <v xml:space="preserve">  </v>
      </c>
      <c r="J103" s="179"/>
      <c r="K103" s="231" t="str">
        <f>+IFERROR(VLOOKUP($J103,'11 FORMULAS'!$B$51:$C$53,2,0),"")</f>
        <v/>
      </c>
      <c r="L103" s="231" t="e">
        <f>+IF(J103="Preventivo","Probabilidad",IF(J103="Detectivo","Probabilidad",IF(#REF!="Correctivo","Impacto","")))</f>
        <v>#REF!</v>
      </c>
      <c r="M103" s="232"/>
      <c r="N103" s="231" t="str">
        <f>+IFERROR(VLOOKUP($M103,'11 FORMULAS'!$B$54:$C$55,2,0),"")</f>
        <v/>
      </c>
      <c r="O103" s="233"/>
      <c r="P103" s="233"/>
      <c r="Q103" s="233"/>
      <c r="R103" s="233"/>
      <c r="S103" s="231" t="str">
        <f t="shared" si="10"/>
        <v/>
      </c>
      <c r="T103" s="231" t="str">
        <f t="shared" si="11"/>
        <v/>
      </c>
      <c r="U103" s="231" t="str">
        <f t="shared" si="12"/>
        <v/>
      </c>
      <c r="V103" s="244"/>
    </row>
    <row r="104" spans="1:26" ht="32.450000000000003" customHeight="1" x14ac:dyDescent="0.25">
      <c r="A104" s="228" t="str">
        <f>'2 CONTEXTO E IDENTIFICACIÓN'!A25</f>
        <v>R17</v>
      </c>
      <c r="B104" s="175" t="str">
        <f>+'2 CONTEXTO E IDENTIFICACIÓN'!J25</f>
        <v>Posibilidad de afectación económica y reputacional por  el registro de información sin soportes completos y precisos. a causa de  suministro de información al proceso contable de forma incompleta o sin verificación.</v>
      </c>
      <c r="C104" s="229">
        <f>+'3 PROBABIL E IMPACTO INHERENTE'!E25</f>
        <v>0.4</v>
      </c>
      <c r="D104" s="230">
        <f>+'3 PROBABIL E IMPACTO INHERENTE'!M25</f>
        <v>0.4</v>
      </c>
      <c r="E104" s="246">
        <v>1</v>
      </c>
      <c r="F104" s="176" t="s">
        <v>440</v>
      </c>
      <c r="G104" s="177" t="s">
        <v>441</v>
      </c>
      <c r="H104" s="177" t="s">
        <v>531</v>
      </c>
      <c r="I104" s="178" t="str">
        <f t="shared" si="9"/>
        <v xml:space="preserve"> El(la) profesional especializado(a) con funciones de contador. Verificar el soporte de cada hecho económico registrado en SIIF Nación. si hace falta algún soporte para el registro de las transacciones, es solicitado al responsable respectivo ya sea interno o externo, a través de correo electrónic</v>
      </c>
      <c r="J104" s="179" t="s">
        <v>199</v>
      </c>
      <c r="K104" s="231">
        <f>+IFERROR(VLOOKUP($J104,'11 FORMULAS'!$B$51:$C$53,2,0),"")</f>
        <v>0.25</v>
      </c>
      <c r="L104" s="231" t="str">
        <f>+IF(J104="Preventivo","Probabilidad",IF(J104="Detectivo","Probabilidad",IF(#REF!="Correctivo","Impacto","")))</f>
        <v>Probabilidad</v>
      </c>
      <c r="M104" s="232" t="s">
        <v>211</v>
      </c>
      <c r="N104" s="231">
        <f>+IFERROR(VLOOKUP($M104,'11 FORMULAS'!$B$54:$C$55,2,0),"")</f>
        <v>0.15</v>
      </c>
      <c r="O104" s="233" t="s">
        <v>222</v>
      </c>
      <c r="P104" s="233" t="s">
        <v>291</v>
      </c>
      <c r="Q104" s="233" t="s">
        <v>295</v>
      </c>
      <c r="R104" s="233" t="s">
        <v>223</v>
      </c>
      <c r="S104" s="231">
        <f t="shared" si="10"/>
        <v>0.4</v>
      </c>
      <c r="T104" s="231">
        <f>+IFERROR(C104*S104,"")</f>
        <v>0.16000000000000003</v>
      </c>
      <c r="U104" s="231">
        <f>+IFERROR(C104-T104,"")</f>
        <v>0.24</v>
      </c>
      <c r="V104" s="234" cm="1">
        <f t="array" ref="V104">LOOKUP(2,1/(U104:U109&lt;&gt;"")*U104:U109)</f>
        <v>0.24</v>
      </c>
      <c r="X104" s="239"/>
      <c r="Y104" s="247"/>
      <c r="Z104" s="247"/>
    </row>
    <row r="105" spans="1:26" ht="32.450000000000003" customHeight="1" x14ac:dyDescent="0.25">
      <c r="A105" s="252"/>
      <c r="B105" s="188"/>
      <c r="C105" s="253"/>
      <c r="D105" s="254"/>
      <c r="E105" s="178">
        <v>2</v>
      </c>
      <c r="F105" s="189"/>
      <c r="G105" s="190"/>
      <c r="H105" s="190"/>
      <c r="I105" s="178" t="str">
        <f t="shared" si="9"/>
        <v xml:space="preserve">  </v>
      </c>
      <c r="J105" s="179"/>
      <c r="K105" s="231" t="str">
        <f>+IFERROR(VLOOKUP($J105,'11 FORMULAS'!$B$51:$C$53,2,0),"")</f>
        <v/>
      </c>
      <c r="L105" s="231" t="e">
        <f>+IF(J105="Preventivo","Probabilidad",IF(J105="Detectivo","Probabilidad",IF(#REF!="Correctivo","Impacto","")))</f>
        <v>#REF!</v>
      </c>
      <c r="M105" s="232"/>
      <c r="N105" s="231" t="str">
        <f>+IFERROR(VLOOKUP($M105,'11 FORMULAS'!$B$54:$C$55,2,0),"")</f>
        <v/>
      </c>
      <c r="O105" s="233"/>
      <c r="P105" s="233"/>
      <c r="Q105" s="233"/>
      <c r="R105" s="233"/>
      <c r="S105" s="231" t="str">
        <f t="shared" ref="S105:S171" si="13">+IFERROR($K105+$N105,"")</f>
        <v/>
      </c>
      <c r="T105" s="231" t="str">
        <f t="shared" si="11"/>
        <v/>
      </c>
      <c r="U105" s="231" t="str">
        <f t="shared" si="12"/>
        <v/>
      </c>
      <c r="V105" s="238"/>
      <c r="X105" s="239"/>
      <c r="Y105" s="247"/>
      <c r="Z105" s="247"/>
    </row>
    <row r="106" spans="1:26" ht="32.450000000000003" customHeight="1" x14ac:dyDescent="0.25">
      <c r="A106" s="252"/>
      <c r="B106" s="188"/>
      <c r="C106" s="253"/>
      <c r="D106" s="254"/>
      <c r="E106" s="178">
        <v>3</v>
      </c>
      <c r="F106" s="189"/>
      <c r="G106" s="190"/>
      <c r="H106" s="190"/>
      <c r="I106" s="178" t="str">
        <f t="shared" si="9"/>
        <v xml:space="preserve">  </v>
      </c>
      <c r="J106" s="179"/>
      <c r="K106" s="231" t="str">
        <f>+IFERROR(VLOOKUP($J106,'11 FORMULAS'!$B$51:$C$53,2,0),"")</f>
        <v/>
      </c>
      <c r="L106" s="231" t="e">
        <f>+IF(J106="Preventivo","Probabilidad",IF(J106="Detectivo","Probabilidad",IF(#REF!="Correctivo","Impacto","")))</f>
        <v>#REF!</v>
      </c>
      <c r="M106" s="232"/>
      <c r="N106" s="231" t="str">
        <f>+IFERROR(VLOOKUP($M106,'11 FORMULAS'!$B$54:$C$55,2,0),"")</f>
        <v/>
      </c>
      <c r="O106" s="233"/>
      <c r="P106" s="233"/>
      <c r="Q106" s="233"/>
      <c r="R106" s="233"/>
      <c r="S106" s="231" t="str">
        <f t="shared" si="13"/>
        <v/>
      </c>
      <c r="T106" s="231" t="str">
        <f t="shared" si="11"/>
        <v/>
      </c>
      <c r="U106" s="231" t="str">
        <f t="shared" si="12"/>
        <v/>
      </c>
      <c r="V106" s="238"/>
      <c r="X106" s="239"/>
      <c r="Y106" s="247"/>
      <c r="Z106" s="247"/>
    </row>
    <row r="107" spans="1:26" ht="32.450000000000003" customHeight="1" x14ac:dyDescent="0.25">
      <c r="A107" s="235"/>
      <c r="B107" s="180"/>
      <c r="C107" s="236"/>
      <c r="D107" s="237"/>
      <c r="E107" s="178">
        <v>4</v>
      </c>
      <c r="F107" s="181"/>
      <c r="G107" s="179"/>
      <c r="H107" s="179"/>
      <c r="I107" s="178" t="str">
        <f t="shared" si="9"/>
        <v xml:space="preserve">  </v>
      </c>
      <c r="J107" s="179"/>
      <c r="K107" s="231" t="str">
        <f>+IFERROR(VLOOKUP($J107,'11 FORMULAS'!$B$51:$C$53,2,0),"")</f>
        <v/>
      </c>
      <c r="L107" s="231" t="e">
        <f>+IF(J107="Preventivo","Probabilidad",IF(J107="Detectivo","Probabilidad",IF(#REF!="Correctivo","Impacto","")))</f>
        <v>#REF!</v>
      </c>
      <c r="M107" s="232"/>
      <c r="N107" s="231" t="str">
        <f>+IFERROR(VLOOKUP($M107,'11 FORMULAS'!$B$54:$C$55,2,0),"")</f>
        <v/>
      </c>
      <c r="O107" s="233"/>
      <c r="P107" s="233"/>
      <c r="Q107" s="233"/>
      <c r="R107" s="233"/>
      <c r="S107" s="231" t="str">
        <f t="shared" si="13"/>
        <v/>
      </c>
      <c r="T107" s="231" t="str">
        <f t="shared" si="11"/>
        <v/>
      </c>
      <c r="U107" s="231" t="str">
        <f t="shared" si="12"/>
        <v/>
      </c>
      <c r="V107" s="238"/>
      <c r="X107" s="239"/>
      <c r="Y107" s="247"/>
      <c r="Z107" s="247"/>
    </row>
    <row r="108" spans="1:26" ht="32.450000000000003" customHeight="1" x14ac:dyDescent="0.25">
      <c r="A108" s="235"/>
      <c r="B108" s="180"/>
      <c r="C108" s="236"/>
      <c r="D108" s="237"/>
      <c r="E108" s="178">
        <v>5</v>
      </c>
      <c r="F108" s="181"/>
      <c r="G108" s="179"/>
      <c r="H108" s="179"/>
      <c r="I108" s="178" t="str">
        <f t="shared" si="9"/>
        <v xml:space="preserve">  </v>
      </c>
      <c r="J108" s="179"/>
      <c r="K108" s="231" t="str">
        <f>+IFERROR(VLOOKUP($J108,'11 FORMULAS'!$B$51:$C$53,2,0),"")</f>
        <v/>
      </c>
      <c r="L108" s="231" t="e">
        <f>+IF(J108="Preventivo","Probabilidad",IF(J108="Detectivo","Probabilidad",IF(#REF!="Correctivo","Impacto","")))</f>
        <v>#REF!</v>
      </c>
      <c r="M108" s="232"/>
      <c r="N108" s="231" t="str">
        <f>+IFERROR(VLOOKUP($M108,'11 FORMULAS'!$B$54:$C$55,2,0),"")</f>
        <v/>
      </c>
      <c r="O108" s="233"/>
      <c r="P108" s="233"/>
      <c r="Q108" s="233"/>
      <c r="R108" s="233"/>
      <c r="S108" s="231" t="str">
        <f t="shared" si="13"/>
        <v/>
      </c>
      <c r="T108" s="231" t="str">
        <f t="shared" si="11"/>
        <v/>
      </c>
      <c r="U108" s="231" t="str">
        <f t="shared" si="12"/>
        <v/>
      </c>
      <c r="V108" s="238"/>
      <c r="X108" s="239"/>
      <c r="Y108" s="247"/>
      <c r="Z108" s="247"/>
    </row>
    <row r="109" spans="1:26" ht="32.450000000000003" customHeight="1" thickBot="1" x14ac:dyDescent="0.3">
      <c r="A109" s="240"/>
      <c r="B109" s="182"/>
      <c r="C109" s="241"/>
      <c r="D109" s="242"/>
      <c r="E109" s="243">
        <v>6</v>
      </c>
      <c r="F109" s="183"/>
      <c r="G109" s="184"/>
      <c r="H109" s="184"/>
      <c r="I109" s="178" t="str">
        <f t="shared" si="9"/>
        <v xml:space="preserve">  </v>
      </c>
      <c r="J109" s="179"/>
      <c r="K109" s="231" t="str">
        <f>+IFERROR(VLOOKUP($J109,'11 FORMULAS'!$B$51:$C$53,2,0),"")</f>
        <v/>
      </c>
      <c r="L109" s="231" t="e">
        <f>+IF(J109="Preventivo","Probabilidad",IF(J109="Detectivo","Probabilidad",IF(#REF!="Correctivo","Impacto","")))</f>
        <v>#REF!</v>
      </c>
      <c r="M109" s="232"/>
      <c r="N109" s="231" t="str">
        <f>+IFERROR(VLOOKUP($M109,'11 FORMULAS'!$B$54:$C$55,2,0),"")</f>
        <v/>
      </c>
      <c r="O109" s="233"/>
      <c r="P109" s="233"/>
      <c r="Q109" s="233"/>
      <c r="R109" s="233"/>
      <c r="S109" s="231" t="str">
        <f t="shared" si="13"/>
        <v/>
      </c>
      <c r="T109" s="231" t="str">
        <f t="shared" si="11"/>
        <v/>
      </c>
      <c r="U109" s="231" t="str">
        <f t="shared" si="12"/>
        <v/>
      </c>
      <c r="V109" s="244"/>
    </row>
    <row r="110" spans="1:26" ht="32.450000000000003" customHeight="1" x14ac:dyDescent="0.25">
      <c r="A110" s="228" t="str">
        <f>'2 CONTEXTO E IDENTIFICACIÓN'!A26</f>
        <v>R18</v>
      </c>
      <c r="B110" s="175" t="str">
        <f>+'2 CONTEXTO E IDENTIFICACIÓN'!J26</f>
        <v>Posibilidad de afectación económica y reputacional por sanción y/o multa. a causa de  al incumplimiento legal de los requisitos del Sistema de gestión de seguridad y salud en el trabajo (SG-SST).</v>
      </c>
      <c r="C110" s="229">
        <f>+'3 PROBABIL E IMPACTO INHERENTE'!E26</f>
        <v>0.4</v>
      </c>
      <c r="D110" s="230">
        <f>+'3 PROBABIL E IMPACTO INHERENTE'!M26</f>
        <v>0.4</v>
      </c>
      <c r="E110" s="246">
        <v>1</v>
      </c>
      <c r="F110" s="176" t="s">
        <v>442</v>
      </c>
      <c r="G110" s="177" t="s">
        <v>443</v>
      </c>
      <c r="H110" s="177" t="s">
        <v>444</v>
      </c>
      <c r="I110" s="178" t="str">
        <f t="shared" si="9"/>
        <v>El(la) profesional universitario responsable del SG-SST. Actualizar y verifica el cumplimiento de los requisitos legales vigentes mensualmente en la Matriz legal de SST. Notifica el posible incumplimiento de un requisito legal en SST</v>
      </c>
      <c r="J110" s="179" t="s">
        <v>199</v>
      </c>
      <c r="K110" s="231">
        <f>+IFERROR(VLOOKUP($J110,'11 FORMULAS'!$B$51:$C$53,2,0),"")</f>
        <v>0.25</v>
      </c>
      <c r="L110" s="231" t="str">
        <f>+IF(J110="Preventivo","Probabilidad",IF(J110="Detectivo","Probabilidad",IF(#REF!="Correctivo","Impacto","")))</f>
        <v>Probabilidad</v>
      </c>
      <c r="M110" s="232" t="s">
        <v>211</v>
      </c>
      <c r="N110" s="231">
        <f>+IFERROR(VLOOKUP($M110,'11 FORMULAS'!$B$54:$C$55,2,0),"")</f>
        <v>0.15</v>
      </c>
      <c r="O110" s="233" t="s">
        <v>201</v>
      </c>
      <c r="P110" s="233" t="s">
        <v>286</v>
      </c>
      <c r="Q110" s="233" t="s">
        <v>295</v>
      </c>
      <c r="R110" s="233" t="s">
        <v>204</v>
      </c>
      <c r="S110" s="231">
        <f t="shared" si="13"/>
        <v>0.4</v>
      </c>
      <c r="T110" s="231">
        <f>+IFERROR(C110*S110,"")</f>
        <v>0.16000000000000003</v>
      </c>
      <c r="U110" s="231">
        <f>+IFERROR(C110-T110,"")</f>
        <v>0.24</v>
      </c>
      <c r="V110" s="234" cm="1">
        <f t="array" ref="V110">LOOKUP(2,1/(U110:U115&lt;&gt;"")*U110:U115)</f>
        <v>0.24</v>
      </c>
      <c r="X110" s="239"/>
      <c r="Y110" s="247"/>
      <c r="Z110" s="247"/>
    </row>
    <row r="111" spans="1:26" ht="32.450000000000003" customHeight="1" x14ac:dyDescent="0.25">
      <c r="A111" s="252"/>
      <c r="B111" s="188"/>
      <c r="C111" s="253"/>
      <c r="D111" s="254"/>
      <c r="E111" s="178">
        <v>2</v>
      </c>
      <c r="F111" s="189"/>
      <c r="G111" s="190"/>
      <c r="H111" s="190"/>
      <c r="I111" s="178" t="str">
        <f t="shared" si="9"/>
        <v xml:space="preserve">  </v>
      </c>
      <c r="J111" s="179"/>
      <c r="K111" s="231" t="str">
        <f>+IFERROR(VLOOKUP($J111,'11 FORMULAS'!$B$51:$C$53,2,0),"")</f>
        <v/>
      </c>
      <c r="L111" s="231" t="e">
        <f>+IF(J111="Preventivo","Probabilidad",IF(J111="Detectivo","Probabilidad",IF(#REF!="Correctivo","Impacto","")))</f>
        <v>#REF!</v>
      </c>
      <c r="M111" s="232"/>
      <c r="N111" s="231" t="str">
        <f>+IFERROR(VLOOKUP($M111,'11 FORMULAS'!$B$54:$C$55,2,0),"")</f>
        <v/>
      </c>
      <c r="O111" s="233"/>
      <c r="P111" s="233"/>
      <c r="Q111" s="233"/>
      <c r="R111" s="233"/>
      <c r="S111" s="231" t="str">
        <f t="shared" si="13"/>
        <v/>
      </c>
      <c r="T111" s="231" t="str">
        <f t="shared" si="11"/>
        <v/>
      </c>
      <c r="U111" s="231" t="str">
        <f t="shared" si="12"/>
        <v/>
      </c>
      <c r="V111" s="238"/>
      <c r="X111" s="239"/>
      <c r="Y111" s="247"/>
      <c r="Z111" s="247"/>
    </row>
    <row r="112" spans="1:26" ht="32.450000000000003" customHeight="1" x14ac:dyDescent="0.25">
      <c r="A112" s="252"/>
      <c r="B112" s="188"/>
      <c r="C112" s="253"/>
      <c r="D112" s="254"/>
      <c r="E112" s="178">
        <v>3</v>
      </c>
      <c r="F112" s="189"/>
      <c r="G112" s="190"/>
      <c r="H112" s="190"/>
      <c r="I112" s="178" t="str">
        <f t="shared" si="9"/>
        <v xml:space="preserve">  </v>
      </c>
      <c r="J112" s="179"/>
      <c r="K112" s="231" t="str">
        <f>+IFERROR(VLOOKUP($J112,'11 FORMULAS'!$B$51:$C$53,2,0),"")</f>
        <v/>
      </c>
      <c r="L112" s="231" t="e">
        <f>+IF(J112="Preventivo","Probabilidad",IF(J112="Detectivo","Probabilidad",IF(#REF!="Correctivo","Impacto","")))</f>
        <v>#REF!</v>
      </c>
      <c r="M112" s="232"/>
      <c r="N112" s="231" t="str">
        <f>+IFERROR(VLOOKUP($M112,'11 FORMULAS'!$B$54:$C$55,2,0),"")</f>
        <v/>
      </c>
      <c r="O112" s="233"/>
      <c r="P112" s="233"/>
      <c r="Q112" s="233"/>
      <c r="R112" s="233"/>
      <c r="S112" s="231" t="str">
        <f t="shared" si="13"/>
        <v/>
      </c>
      <c r="T112" s="231" t="str">
        <f t="shared" si="11"/>
        <v/>
      </c>
      <c r="U112" s="231" t="str">
        <f t="shared" si="12"/>
        <v/>
      </c>
      <c r="V112" s="238"/>
      <c r="X112" s="239"/>
      <c r="Y112" s="247"/>
      <c r="Z112" s="247"/>
    </row>
    <row r="113" spans="1:26" ht="32.450000000000003" customHeight="1" x14ac:dyDescent="0.25">
      <c r="A113" s="235"/>
      <c r="B113" s="180"/>
      <c r="C113" s="236"/>
      <c r="D113" s="237"/>
      <c r="E113" s="178">
        <v>4</v>
      </c>
      <c r="F113" s="181"/>
      <c r="G113" s="179"/>
      <c r="H113" s="179"/>
      <c r="I113" s="178" t="str">
        <f t="shared" si="9"/>
        <v xml:space="preserve">  </v>
      </c>
      <c r="J113" s="179"/>
      <c r="K113" s="231" t="str">
        <f>+IFERROR(VLOOKUP($J113,'11 FORMULAS'!$B$51:$C$53,2,0),"")</f>
        <v/>
      </c>
      <c r="L113" s="231" t="e">
        <f>+IF(J113="Preventivo","Probabilidad",IF(J113="Detectivo","Probabilidad",IF(#REF!="Correctivo","Impacto","")))</f>
        <v>#REF!</v>
      </c>
      <c r="M113" s="232"/>
      <c r="N113" s="231" t="str">
        <f>+IFERROR(VLOOKUP($M113,'11 FORMULAS'!$B$54:$C$55,2,0),"")</f>
        <v/>
      </c>
      <c r="O113" s="233"/>
      <c r="P113" s="233"/>
      <c r="Q113" s="233"/>
      <c r="R113" s="233"/>
      <c r="S113" s="231" t="str">
        <f t="shared" si="13"/>
        <v/>
      </c>
      <c r="T113" s="231" t="str">
        <f t="shared" si="11"/>
        <v/>
      </c>
      <c r="U113" s="231" t="str">
        <f t="shared" si="12"/>
        <v/>
      </c>
      <c r="V113" s="238"/>
      <c r="X113" s="239"/>
      <c r="Y113" s="247"/>
      <c r="Z113" s="247"/>
    </row>
    <row r="114" spans="1:26" ht="32.450000000000003" customHeight="1" x14ac:dyDescent="0.25">
      <c r="A114" s="235"/>
      <c r="B114" s="180"/>
      <c r="C114" s="236"/>
      <c r="D114" s="237"/>
      <c r="E114" s="178">
        <v>5</v>
      </c>
      <c r="F114" s="181"/>
      <c r="G114" s="179"/>
      <c r="H114" s="179"/>
      <c r="I114" s="178" t="str">
        <f t="shared" si="9"/>
        <v xml:space="preserve">  </v>
      </c>
      <c r="J114" s="179"/>
      <c r="K114" s="231" t="str">
        <f>+IFERROR(VLOOKUP($J114,'11 FORMULAS'!$B$51:$C$53,2,0),"")</f>
        <v/>
      </c>
      <c r="L114" s="231" t="e">
        <f>+IF(J114="Preventivo","Probabilidad",IF(J114="Detectivo","Probabilidad",IF(#REF!="Correctivo","Impacto","")))</f>
        <v>#REF!</v>
      </c>
      <c r="M114" s="232"/>
      <c r="N114" s="231" t="str">
        <f>+IFERROR(VLOOKUP($M114,'11 FORMULAS'!$B$54:$C$55,2,0),"")</f>
        <v/>
      </c>
      <c r="O114" s="233"/>
      <c r="P114" s="233"/>
      <c r="Q114" s="233"/>
      <c r="R114" s="233"/>
      <c r="S114" s="231" t="str">
        <f t="shared" si="13"/>
        <v/>
      </c>
      <c r="T114" s="231" t="str">
        <f t="shared" si="11"/>
        <v/>
      </c>
      <c r="U114" s="231" t="str">
        <f t="shared" si="12"/>
        <v/>
      </c>
      <c r="V114" s="238"/>
      <c r="X114" s="239"/>
      <c r="Y114" s="247"/>
      <c r="Z114" s="247"/>
    </row>
    <row r="115" spans="1:26" ht="32.450000000000003" customHeight="1" thickBot="1" x14ac:dyDescent="0.3">
      <c r="A115" s="240"/>
      <c r="B115" s="182"/>
      <c r="C115" s="241"/>
      <c r="D115" s="242"/>
      <c r="E115" s="243">
        <v>6</v>
      </c>
      <c r="F115" s="183"/>
      <c r="G115" s="184"/>
      <c r="H115" s="184"/>
      <c r="I115" s="178" t="str">
        <f t="shared" si="9"/>
        <v xml:space="preserve">  </v>
      </c>
      <c r="J115" s="179"/>
      <c r="K115" s="231" t="str">
        <f>+IFERROR(VLOOKUP($J115,'11 FORMULAS'!$B$51:$C$53,2,0),"")</f>
        <v/>
      </c>
      <c r="L115" s="231" t="e">
        <f>+IF(J115="Preventivo","Probabilidad",IF(J115="Detectivo","Probabilidad",IF(#REF!="Correctivo","Impacto","")))</f>
        <v>#REF!</v>
      </c>
      <c r="M115" s="232"/>
      <c r="N115" s="231" t="str">
        <f>+IFERROR(VLOOKUP($M115,'11 FORMULAS'!$B$54:$C$55,2,0),"")</f>
        <v/>
      </c>
      <c r="O115" s="233"/>
      <c r="P115" s="233"/>
      <c r="Q115" s="233"/>
      <c r="R115" s="233"/>
      <c r="S115" s="231" t="str">
        <f t="shared" si="13"/>
        <v/>
      </c>
      <c r="T115" s="231" t="str">
        <f t="shared" si="11"/>
        <v/>
      </c>
      <c r="U115" s="231" t="str">
        <f t="shared" si="12"/>
        <v/>
      </c>
      <c r="V115" s="244"/>
    </row>
    <row r="116" spans="1:26" ht="32.450000000000003" customHeight="1" x14ac:dyDescent="0.25">
      <c r="A116" s="228" t="str">
        <f>'2 CONTEXTO E IDENTIFICACIÓN'!A27</f>
        <v>R19</v>
      </c>
      <c r="B116" s="175" t="str">
        <f>+'2 CONTEXTO E IDENTIFICACIÓN'!J27</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116" s="229">
        <f>+'3 PROBABIL E IMPACTO INHERENTE'!E27</f>
        <v>0.6</v>
      </c>
      <c r="D116" s="230">
        <f>+'3 PROBABIL E IMPACTO INHERENTE'!M27</f>
        <v>0.6</v>
      </c>
      <c r="E116" s="246">
        <v>1</v>
      </c>
      <c r="F116" s="176" t="s">
        <v>445</v>
      </c>
      <c r="G116" s="177" t="s">
        <v>446</v>
      </c>
      <c r="H116" s="177" t="s">
        <v>447</v>
      </c>
      <c r="I116" s="178" t="str">
        <f t="shared" si="9"/>
        <v xml:space="preserve">El(la) coordinador(a) del grupo interno de trabajo de Gestión de talento humano.  Velar porque los actos administrativos que se expidan a través del proceso Gestión de talento humano de la Agencia, se ajusten a la normatividad legal vigente. De identificarse alguna novedad en el acto administrativo, informar al superior jerárquico y corregir o derogar el acto administrativo en cuestión . </v>
      </c>
      <c r="J116" s="179" t="s">
        <v>199</v>
      </c>
      <c r="K116" s="231">
        <f>+IFERROR(VLOOKUP($J116,'11 FORMULAS'!$B$51:$C$53,2,0),"")</f>
        <v>0.25</v>
      </c>
      <c r="L116" s="231" t="str">
        <f>+IF(J116="Preventivo","Probabilidad",IF(J116="Detectivo","Probabilidad",IF(#REF!="Correctivo","Impacto","")))</f>
        <v>Probabilidad</v>
      </c>
      <c r="M116" s="232" t="s">
        <v>211</v>
      </c>
      <c r="N116" s="231">
        <f>+IFERROR(VLOOKUP($M116,'11 FORMULAS'!$B$54:$C$55,2,0),"")</f>
        <v>0.15</v>
      </c>
      <c r="O116" s="233" t="s">
        <v>201</v>
      </c>
      <c r="P116" s="233" t="s">
        <v>289</v>
      </c>
      <c r="Q116" s="233" t="s">
        <v>295</v>
      </c>
      <c r="R116" s="233" t="s">
        <v>204</v>
      </c>
      <c r="S116" s="231">
        <f t="shared" si="13"/>
        <v>0.4</v>
      </c>
      <c r="T116" s="231">
        <f>+IFERROR(C116*S116,"")</f>
        <v>0.24</v>
      </c>
      <c r="U116" s="231">
        <f>+IFERROR(C116-T116,"")</f>
        <v>0.36</v>
      </c>
      <c r="V116" s="234" cm="1">
        <f t="array" ref="V116">LOOKUP(2,1/(U116:U121&lt;&gt;"")*U116:U121)</f>
        <v>0.36</v>
      </c>
      <c r="X116" s="239"/>
      <c r="Y116" s="247"/>
      <c r="Z116" s="247"/>
    </row>
    <row r="117" spans="1:26" ht="32.450000000000003" customHeight="1" x14ac:dyDescent="0.25">
      <c r="A117" s="252"/>
      <c r="B117" s="188"/>
      <c r="C117" s="253"/>
      <c r="D117" s="254"/>
      <c r="E117" s="178">
        <v>2</v>
      </c>
      <c r="F117" s="189"/>
      <c r="G117" s="190"/>
      <c r="H117" s="190"/>
      <c r="I117" s="178" t="str">
        <f t="shared" si="9"/>
        <v xml:space="preserve">  </v>
      </c>
      <c r="J117" s="179"/>
      <c r="K117" s="231" t="str">
        <f>+IFERROR(VLOOKUP($J117,'11 FORMULAS'!$B$51:$C$53,2,0),"")</f>
        <v/>
      </c>
      <c r="L117" s="231" t="e">
        <f>+IF(J117="Preventivo","Probabilidad",IF(J117="Detectivo","Probabilidad",IF(#REF!="Correctivo","Impacto","")))</f>
        <v>#REF!</v>
      </c>
      <c r="M117" s="232"/>
      <c r="N117" s="231" t="str">
        <f>+IFERROR(VLOOKUP($M117,'11 FORMULAS'!$B$54:$C$55,2,0),"")</f>
        <v/>
      </c>
      <c r="O117" s="233"/>
      <c r="P117" s="233"/>
      <c r="Q117" s="233"/>
      <c r="R117" s="233"/>
      <c r="S117" s="231" t="str">
        <f t="shared" si="13"/>
        <v/>
      </c>
      <c r="T117" s="231" t="str">
        <f t="shared" ref="T117:T127" si="14">+IFERROR(C117*S117,"")</f>
        <v/>
      </c>
      <c r="U117" s="231" t="str">
        <f t="shared" ref="U117:U127" si="15">+IFERROR(S117-T117,"")</f>
        <v/>
      </c>
      <c r="V117" s="238"/>
      <c r="X117" s="239"/>
      <c r="Y117" s="247"/>
      <c r="Z117" s="247"/>
    </row>
    <row r="118" spans="1:26" ht="32.450000000000003" customHeight="1" x14ac:dyDescent="0.25">
      <c r="A118" s="252"/>
      <c r="B118" s="188"/>
      <c r="C118" s="253"/>
      <c r="D118" s="254"/>
      <c r="E118" s="178">
        <v>3</v>
      </c>
      <c r="F118" s="189"/>
      <c r="G118" s="190"/>
      <c r="H118" s="190"/>
      <c r="I118" s="178" t="str">
        <f t="shared" si="9"/>
        <v xml:space="preserve">  </v>
      </c>
      <c r="J118" s="179"/>
      <c r="K118" s="231" t="str">
        <f>+IFERROR(VLOOKUP($J118,'11 FORMULAS'!$B$51:$C$53,2,0),"")</f>
        <v/>
      </c>
      <c r="L118" s="231" t="e">
        <f>+IF(J118="Preventivo","Probabilidad",IF(J118="Detectivo","Probabilidad",IF(#REF!="Correctivo","Impacto","")))</f>
        <v>#REF!</v>
      </c>
      <c r="M118" s="232"/>
      <c r="N118" s="231" t="str">
        <f>+IFERROR(VLOOKUP($M118,'11 FORMULAS'!$B$54:$C$55,2,0),"")</f>
        <v/>
      </c>
      <c r="O118" s="233"/>
      <c r="P118" s="233"/>
      <c r="Q118" s="233"/>
      <c r="R118" s="233"/>
      <c r="S118" s="231" t="str">
        <f t="shared" si="13"/>
        <v/>
      </c>
      <c r="T118" s="231" t="str">
        <f t="shared" si="14"/>
        <v/>
      </c>
      <c r="U118" s="231" t="str">
        <f t="shared" si="15"/>
        <v/>
      </c>
      <c r="V118" s="238"/>
      <c r="X118" s="239"/>
      <c r="Y118" s="247"/>
      <c r="Z118" s="247"/>
    </row>
    <row r="119" spans="1:26" ht="32.450000000000003" customHeight="1" x14ac:dyDescent="0.25">
      <c r="A119" s="235"/>
      <c r="B119" s="180"/>
      <c r="C119" s="236"/>
      <c r="D119" s="237"/>
      <c r="E119" s="178">
        <v>4</v>
      </c>
      <c r="F119" s="181"/>
      <c r="G119" s="179"/>
      <c r="H119" s="179"/>
      <c r="I119" s="178" t="str">
        <f t="shared" si="9"/>
        <v xml:space="preserve">  </v>
      </c>
      <c r="J119" s="179"/>
      <c r="K119" s="231" t="str">
        <f>+IFERROR(VLOOKUP($J119,'11 FORMULAS'!$B$51:$C$53,2,0),"")</f>
        <v/>
      </c>
      <c r="L119" s="231" t="e">
        <f>+IF(J119="Preventivo","Probabilidad",IF(J119="Detectivo","Probabilidad",IF(#REF!="Correctivo","Impacto","")))</f>
        <v>#REF!</v>
      </c>
      <c r="M119" s="232"/>
      <c r="N119" s="231" t="str">
        <f>+IFERROR(VLOOKUP($M119,'11 FORMULAS'!$B$54:$C$55,2,0),"")</f>
        <v/>
      </c>
      <c r="O119" s="233"/>
      <c r="P119" s="233"/>
      <c r="Q119" s="233"/>
      <c r="R119" s="233"/>
      <c r="S119" s="231" t="str">
        <f t="shared" si="13"/>
        <v/>
      </c>
      <c r="T119" s="231" t="str">
        <f t="shared" si="14"/>
        <v/>
      </c>
      <c r="U119" s="231" t="str">
        <f t="shared" si="15"/>
        <v/>
      </c>
      <c r="V119" s="238"/>
      <c r="X119" s="239"/>
      <c r="Y119" s="247"/>
      <c r="Z119" s="247"/>
    </row>
    <row r="120" spans="1:26" ht="32.450000000000003" customHeight="1" x14ac:dyDescent="0.25">
      <c r="A120" s="235"/>
      <c r="B120" s="180"/>
      <c r="C120" s="236"/>
      <c r="D120" s="237"/>
      <c r="E120" s="178">
        <v>5</v>
      </c>
      <c r="F120" s="181"/>
      <c r="G120" s="179"/>
      <c r="H120" s="179"/>
      <c r="I120" s="178" t="str">
        <f t="shared" si="9"/>
        <v xml:space="preserve">  </v>
      </c>
      <c r="J120" s="179"/>
      <c r="K120" s="231" t="str">
        <f>+IFERROR(VLOOKUP($J120,'11 FORMULAS'!$B$51:$C$53,2,0),"")</f>
        <v/>
      </c>
      <c r="L120" s="231" t="e">
        <f>+IF(J120="Preventivo","Probabilidad",IF(J120="Detectivo","Probabilidad",IF(#REF!="Correctivo","Impacto","")))</f>
        <v>#REF!</v>
      </c>
      <c r="M120" s="232"/>
      <c r="N120" s="231" t="str">
        <f>+IFERROR(VLOOKUP($M120,'11 FORMULAS'!$B$54:$C$55,2,0),"")</f>
        <v/>
      </c>
      <c r="O120" s="233"/>
      <c r="P120" s="233"/>
      <c r="Q120" s="233"/>
      <c r="R120" s="233"/>
      <c r="S120" s="231" t="str">
        <f t="shared" si="13"/>
        <v/>
      </c>
      <c r="T120" s="231" t="str">
        <f t="shared" si="14"/>
        <v/>
      </c>
      <c r="U120" s="231" t="str">
        <f t="shared" si="15"/>
        <v/>
      </c>
      <c r="V120" s="238"/>
      <c r="X120" s="239"/>
      <c r="Y120" s="247"/>
      <c r="Z120" s="247"/>
    </row>
    <row r="121" spans="1:26" ht="32.450000000000003" customHeight="1" thickBot="1" x14ac:dyDescent="0.3">
      <c r="A121" s="240"/>
      <c r="B121" s="182"/>
      <c r="C121" s="241"/>
      <c r="D121" s="242"/>
      <c r="E121" s="243">
        <v>6</v>
      </c>
      <c r="F121" s="183"/>
      <c r="G121" s="184"/>
      <c r="H121" s="184"/>
      <c r="I121" s="178" t="str">
        <f t="shared" si="9"/>
        <v xml:space="preserve">  </v>
      </c>
      <c r="J121" s="179"/>
      <c r="K121" s="231" t="str">
        <f>+IFERROR(VLOOKUP($J121,'11 FORMULAS'!$B$51:$C$53,2,0),"")</f>
        <v/>
      </c>
      <c r="L121" s="231" t="e">
        <f>+IF(J121="Preventivo","Probabilidad",IF(J121="Detectivo","Probabilidad",IF(#REF!="Correctivo","Impacto","")))</f>
        <v>#REF!</v>
      </c>
      <c r="M121" s="232"/>
      <c r="N121" s="231" t="str">
        <f>+IFERROR(VLOOKUP($M121,'11 FORMULAS'!$B$54:$C$55,2,0),"")</f>
        <v/>
      </c>
      <c r="O121" s="233"/>
      <c r="P121" s="233"/>
      <c r="Q121" s="233"/>
      <c r="R121" s="233"/>
      <c r="S121" s="231" t="str">
        <f t="shared" si="13"/>
        <v/>
      </c>
      <c r="T121" s="231" t="str">
        <f t="shared" si="14"/>
        <v/>
      </c>
      <c r="U121" s="231" t="str">
        <f t="shared" si="15"/>
        <v/>
      </c>
      <c r="V121" s="244"/>
    </row>
    <row r="122" spans="1:26" ht="32.450000000000003" customHeight="1" thickBot="1" x14ac:dyDescent="0.3">
      <c r="A122" s="228" t="str">
        <f>'2 CONTEXTO E IDENTIFICACIÓN'!A28</f>
        <v>R20</v>
      </c>
      <c r="B122" s="175" t="str">
        <f>+'2 CONTEXTO E IDENTIFICACIÓN'!J28</f>
        <v>Posibilidad de afectación reputacional por la reclamación de la DIAN y queja y/o sanción de los organismos de vigilancia y control. a causa de   incumplimiento en los requisitos para tramitar donaciones por parte de la Agencia.</v>
      </c>
      <c r="C122" s="229">
        <f>+'3 PROBABIL E IMPACTO INHERENTE'!E28</f>
        <v>0.4</v>
      </c>
      <c r="D122" s="230">
        <f>+'3 PROBABIL E IMPACTO INHERENTE'!M28</f>
        <v>0.4</v>
      </c>
      <c r="E122" s="246">
        <v>1</v>
      </c>
      <c r="F122" s="176" t="s">
        <v>529</v>
      </c>
      <c r="G122" s="177" t="s">
        <v>448</v>
      </c>
      <c r="H122" s="177" t="s">
        <v>449</v>
      </c>
      <c r="I122" s="178" t="str">
        <f t="shared" si="9"/>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 Verificar previamente cada uno de los ítems de la donación teniendo en cuenta sus cualidades y especificaciones técnicas a través de la documentación requerida para el trámite de canalización de Donaciones en Especie. (Ofrecimiento de la Donación, Certificado de la Donación y Carta de Exoneración de Responsabilidades). Se analizan  las novedades presentadas en el ejercicio de la revisión para tomar las medidas respectivas, escalando a la instancia correspondiente y evitar la indebida recepción de la donación.</v>
      </c>
      <c r="J122" s="179" t="s">
        <v>199</v>
      </c>
      <c r="K122" s="231">
        <f>+IFERROR(VLOOKUP($J122,'11 FORMULAS'!$B$51:$C$53,2,0),"")</f>
        <v>0.25</v>
      </c>
      <c r="L122" s="231" t="str">
        <f>+IF(J122="Preventivo","Probabilidad",IF(J122="Detectivo","Probabilidad",IF(#REF!="Correctivo","Impacto","")))</f>
        <v>Probabilidad</v>
      </c>
      <c r="M122" s="232" t="s">
        <v>211</v>
      </c>
      <c r="N122" s="231">
        <f>+IFERROR(VLOOKUP($M122,'11 FORMULAS'!$B$54:$C$55,2,0),"")</f>
        <v>0.15</v>
      </c>
      <c r="O122" s="233" t="s">
        <v>201</v>
      </c>
      <c r="P122" s="233" t="s">
        <v>286</v>
      </c>
      <c r="Q122" s="233" t="s">
        <v>295</v>
      </c>
      <c r="R122" s="233" t="s">
        <v>204</v>
      </c>
      <c r="S122" s="231">
        <f t="shared" si="13"/>
        <v>0.4</v>
      </c>
      <c r="T122" s="231">
        <f>+IFERROR(C122*S122,"")</f>
        <v>0.16000000000000003</v>
      </c>
      <c r="U122" s="231">
        <f>+IFERROR(C122-T122,"")</f>
        <v>0.24</v>
      </c>
      <c r="V122" s="234" cm="1">
        <f t="array" ref="V122">LOOKUP(2,1/(U122:U127&lt;&gt;"")*U122:U127)</f>
        <v>0.14399999999999999</v>
      </c>
      <c r="X122" s="239"/>
      <c r="Y122" s="247"/>
      <c r="Z122" s="247"/>
    </row>
    <row r="123" spans="1:26" ht="32.450000000000003" customHeight="1" x14ac:dyDescent="0.25">
      <c r="A123" s="252"/>
      <c r="B123" s="188"/>
      <c r="C123" s="253"/>
      <c r="D123" s="254"/>
      <c r="E123" s="178">
        <v>2</v>
      </c>
      <c r="F123" s="176" t="s">
        <v>529</v>
      </c>
      <c r="G123" s="190" t="s">
        <v>530</v>
      </c>
      <c r="H123" s="190" t="s">
        <v>449</v>
      </c>
      <c r="I123" s="178" t="str">
        <f t="shared" si="9"/>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 Control del acta de entrega de la donación al beneficiario final, teniendo en cuenta la voluntad del donante con respecto al beneficiario final. Se analizan  las novedades presentadas en el ejercicio de la revisión para tomar las medidas respectivas, escalando a la instancia correspondiente y evitar la indebida recepción de la donación.</v>
      </c>
      <c r="J123" s="179" t="s">
        <v>199</v>
      </c>
      <c r="K123" s="231">
        <f>+IFERROR(VLOOKUP($J123,'11 FORMULAS'!$B$51:$C$53,2,0),"")</f>
        <v>0.25</v>
      </c>
      <c r="L123" s="231" t="str">
        <f>+IF(J123="Preventivo","Probabilidad",IF(J123="Detectivo","Probabilidad",IF(#REF!="Correctivo","Impacto","")))</f>
        <v>Probabilidad</v>
      </c>
      <c r="M123" s="232" t="s">
        <v>211</v>
      </c>
      <c r="N123" s="231">
        <f>+IFERROR(VLOOKUP($M123,'11 FORMULAS'!$B$54:$C$55,2,0),"")</f>
        <v>0.15</v>
      </c>
      <c r="O123" s="233" t="s">
        <v>201</v>
      </c>
      <c r="P123" s="233" t="s">
        <v>286</v>
      </c>
      <c r="Q123" s="233" t="s">
        <v>295</v>
      </c>
      <c r="R123" s="233" t="s">
        <v>204</v>
      </c>
      <c r="S123" s="231">
        <f t="shared" si="13"/>
        <v>0.4</v>
      </c>
      <c r="T123" s="231">
        <f>+IFERROR(U122*S123,"")</f>
        <v>9.6000000000000002E-2</v>
      </c>
      <c r="U123" s="231">
        <f>+IFERROR(U122-T123,"")</f>
        <v>0.14399999999999999</v>
      </c>
      <c r="V123" s="238"/>
      <c r="X123" s="239"/>
      <c r="Y123" s="247"/>
      <c r="Z123" s="247"/>
    </row>
    <row r="124" spans="1:26" ht="32.450000000000003" customHeight="1" x14ac:dyDescent="0.25">
      <c r="A124" s="252"/>
      <c r="B124" s="188"/>
      <c r="C124" s="253"/>
      <c r="D124" s="254"/>
      <c r="E124" s="178">
        <v>3</v>
      </c>
      <c r="F124" s="189"/>
      <c r="G124" s="190"/>
      <c r="H124" s="190"/>
      <c r="I124" s="178" t="str">
        <f t="shared" si="9"/>
        <v xml:space="preserve">  </v>
      </c>
      <c r="J124" s="179"/>
      <c r="K124" s="231" t="str">
        <f>+IFERROR(VLOOKUP($J124,'11 FORMULAS'!$B$51:$C$53,2,0),"")</f>
        <v/>
      </c>
      <c r="L124" s="231" t="e">
        <f>+IF(J124="Preventivo","Probabilidad",IF(J124="Detectivo","Probabilidad",IF(#REF!="Correctivo","Impacto","")))</f>
        <v>#REF!</v>
      </c>
      <c r="M124" s="232"/>
      <c r="N124" s="231" t="str">
        <f>+IFERROR(VLOOKUP($M124,'11 FORMULAS'!$B$54:$C$55,2,0),"")</f>
        <v/>
      </c>
      <c r="O124" s="233"/>
      <c r="P124" s="233"/>
      <c r="Q124" s="233"/>
      <c r="R124" s="233"/>
      <c r="S124" s="231" t="str">
        <f t="shared" si="13"/>
        <v/>
      </c>
      <c r="T124" s="231" t="str">
        <f t="shared" si="14"/>
        <v/>
      </c>
      <c r="U124" s="231" t="str">
        <f t="shared" si="15"/>
        <v/>
      </c>
      <c r="V124" s="238"/>
      <c r="X124" s="239"/>
      <c r="Y124" s="247"/>
      <c r="Z124" s="247"/>
    </row>
    <row r="125" spans="1:26" ht="32.450000000000003" customHeight="1" x14ac:dyDescent="0.25">
      <c r="A125" s="235"/>
      <c r="B125" s="180"/>
      <c r="C125" s="236"/>
      <c r="D125" s="237"/>
      <c r="E125" s="178">
        <v>4</v>
      </c>
      <c r="F125" s="181"/>
      <c r="G125" s="179"/>
      <c r="H125" s="179"/>
      <c r="I125" s="178" t="str">
        <f t="shared" si="9"/>
        <v xml:space="preserve">  </v>
      </c>
      <c r="J125" s="179"/>
      <c r="K125" s="231" t="str">
        <f>+IFERROR(VLOOKUP($J125,'11 FORMULAS'!$B$51:$C$53,2,0),"")</f>
        <v/>
      </c>
      <c r="L125" s="231" t="e">
        <f>+IF(J125="Preventivo","Probabilidad",IF(J125="Detectivo","Probabilidad",IF(#REF!="Correctivo","Impacto","")))</f>
        <v>#REF!</v>
      </c>
      <c r="M125" s="232"/>
      <c r="N125" s="231" t="str">
        <f>+IFERROR(VLOOKUP($M125,'11 FORMULAS'!$B$54:$C$55,2,0),"")</f>
        <v/>
      </c>
      <c r="O125" s="233"/>
      <c r="P125" s="233"/>
      <c r="Q125" s="233"/>
      <c r="R125" s="233"/>
      <c r="S125" s="231" t="str">
        <f t="shared" si="13"/>
        <v/>
      </c>
      <c r="T125" s="231" t="str">
        <f t="shared" si="14"/>
        <v/>
      </c>
      <c r="U125" s="231" t="str">
        <f t="shared" si="15"/>
        <v/>
      </c>
      <c r="V125" s="238"/>
      <c r="X125" s="239"/>
      <c r="Y125" s="247"/>
      <c r="Z125" s="247"/>
    </row>
    <row r="126" spans="1:26" ht="32.450000000000003" customHeight="1" x14ac:dyDescent="0.25">
      <c r="A126" s="235"/>
      <c r="B126" s="180"/>
      <c r="C126" s="236"/>
      <c r="D126" s="237"/>
      <c r="E126" s="178">
        <v>5</v>
      </c>
      <c r="F126" s="181"/>
      <c r="G126" s="179"/>
      <c r="H126" s="179"/>
      <c r="I126" s="178" t="str">
        <f t="shared" si="9"/>
        <v xml:space="preserve">  </v>
      </c>
      <c r="J126" s="179"/>
      <c r="K126" s="231" t="str">
        <f>+IFERROR(VLOOKUP($J126,'11 FORMULAS'!$B$51:$C$53,2,0),"")</f>
        <v/>
      </c>
      <c r="L126" s="231" t="e">
        <f>+IF(J126="Preventivo","Probabilidad",IF(J126="Detectivo","Probabilidad",IF(#REF!="Correctivo","Impacto","")))</f>
        <v>#REF!</v>
      </c>
      <c r="M126" s="232"/>
      <c r="N126" s="231" t="str">
        <f>+IFERROR(VLOOKUP($M126,'11 FORMULAS'!$B$54:$C$55,2,0),"")</f>
        <v/>
      </c>
      <c r="O126" s="233"/>
      <c r="P126" s="233"/>
      <c r="Q126" s="233"/>
      <c r="R126" s="233"/>
      <c r="S126" s="231" t="str">
        <f t="shared" si="13"/>
        <v/>
      </c>
      <c r="T126" s="231" t="str">
        <f t="shared" si="14"/>
        <v/>
      </c>
      <c r="U126" s="231" t="str">
        <f t="shared" si="15"/>
        <v/>
      </c>
      <c r="V126" s="238"/>
      <c r="X126" s="239"/>
      <c r="Y126" s="247"/>
      <c r="Z126" s="247"/>
    </row>
    <row r="127" spans="1:26" ht="32.450000000000003" customHeight="1" thickBot="1" x14ac:dyDescent="0.3">
      <c r="A127" s="240"/>
      <c r="B127" s="182"/>
      <c r="C127" s="241"/>
      <c r="D127" s="242"/>
      <c r="E127" s="243">
        <v>6</v>
      </c>
      <c r="F127" s="183"/>
      <c r="G127" s="184"/>
      <c r="H127" s="184"/>
      <c r="I127" s="178" t="str">
        <f t="shared" si="9"/>
        <v xml:space="preserve">  </v>
      </c>
      <c r="J127" s="179"/>
      <c r="K127" s="231" t="str">
        <f>+IFERROR(VLOOKUP($J127,'11 FORMULAS'!$B$51:$C$53,2,0),"")</f>
        <v/>
      </c>
      <c r="L127" s="231" t="e">
        <f>+IF(J127="Preventivo","Probabilidad",IF(J127="Detectivo","Probabilidad",IF(#REF!="Correctivo","Impacto","")))</f>
        <v>#REF!</v>
      </c>
      <c r="M127" s="232"/>
      <c r="N127" s="231" t="str">
        <f>+IFERROR(VLOOKUP($M127,'11 FORMULAS'!$B$54:$C$55,2,0),"")</f>
        <v/>
      </c>
      <c r="O127" s="233"/>
      <c r="P127" s="233"/>
      <c r="Q127" s="233"/>
      <c r="R127" s="233"/>
      <c r="S127" s="231" t="str">
        <f t="shared" si="13"/>
        <v/>
      </c>
      <c r="T127" s="231" t="str">
        <f t="shared" si="14"/>
        <v/>
      </c>
      <c r="U127" s="231" t="str">
        <f t="shared" si="15"/>
        <v/>
      </c>
      <c r="V127" s="244"/>
    </row>
    <row r="128" spans="1:26" ht="32.450000000000003" customHeight="1" x14ac:dyDescent="0.25">
      <c r="A128" s="228" t="str">
        <f>'2 CONTEXTO E IDENTIFICACIÓN'!A29</f>
        <v>R21</v>
      </c>
      <c r="B128" s="175" t="str">
        <f>+'2 CONTEXTO E IDENTIFICACIÓN'!J29</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C128" s="229">
        <f>+'3 PROBABIL E IMPACTO INHERENTE'!E29</f>
        <v>0.6</v>
      </c>
      <c r="D128" s="230">
        <f>+'3 PROBABIL E IMPACTO INHERENTE'!M29</f>
        <v>0.4</v>
      </c>
      <c r="E128" s="246">
        <v>1</v>
      </c>
      <c r="F128" s="189" t="s">
        <v>523</v>
      </c>
      <c r="G128" s="190" t="s">
        <v>524</v>
      </c>
      <c r="H128" s="190" t="s">
        <v>525</v>
      </c>
      <c r="I128" s="178" t="str">
        <f t="shared" si="9"/>
        <v xml:space="preserve"> El equipo técnico de la Dirección de gestión de demanda de cooperación internacional. Consolidar y enviar para publicación, el documento con Analisis de la Ayuda Oficial al Desarrollo (AOD), recibida durante la vigencia anterior.  Si existen, como que el documento no pueda ser publicado, se emplearán medios alternativos para su socialización, como el envío a través de correo electrónico a los usuarios interesados y se dejará como evidencia el documento final.</v>
      </c>
      <c r="J128" s="179" t="s">
        <v>199</v>
      </c>
      <c r="K128" s="231">
        <f>+IFERROR(VLOOKUP($J128,'11 FORMULAS'!$B$51:$C$53,2,0),"")</f>
        <v>0.25</v>
      </c>
      <c r="L128" s="231" t="str">
        <f>+IF(J128="Preventivo","Probabilidad",IF(J128="Detectivo","Probabilidad",IF(#REF!="Correctivo","Impacto","")))</f>
        <v>Probabilidad</v>
      </c>
      <c r="M128" s="232" t="s">
        <v>211</v>
      </c>
      <c r="N128" s="231">
        <f>+IFERROR(VLOOKUP($M128,'11 FORMULAS'!$B$54:$C$55,2,0),"")</f>
        <v>0.15</v>
      </c>
      <c r="O128" s="233" t="s">
        <v>201</v>
      </c>
      <c r="P128" s="233" t="s">
        <v>286</v>
      </c>
      <c r="Q128" s="233" t="s">
        <v>295</v>
      </c>
      <c r="R128" s="233" t="s">
        <v>204</v>
      </c>
      <c r="S128" s="231">
        <f t="shared" si="13"/>
        <v>0.4</v>
      </c>
      <c r="T128" s="231">
        <f>+IFERROR(C128*S128,"")</f>
        <v>0.24</v>
      </c>
      <c r="U128" s="231">
        <f>+IFERROR(C128-T128,"")</f>
        <v>0.36</v>
      </c>
      <c r="V128" s="234" cm="1">
        <f t="array" ref="V128">LOOKUP(2,1/(U128:U133&lt;&gt;"")*U128:U133)</f>
        <v>0.216</v>
      </c>
      <c r="X128" s="239"/>
      <c r="Y128" s="247"/>
      <c r="Z128" s="247"/>
    </row>
    <row r="129" spans="1:26" ht="32.450000000000003" customHeight="1" x14ac:dyDescent="0.25">
      <c r="A129" s="252"/>
      <c r="B129" s="188"/>
      <c r="C129" s="253"/>
      <c r="D129" s="254"/>
      <c r="E129" s="178">
        <v>2</v>
      </c>
      <c r="F129" s="189" t="s">
        <v>526</v>
      </c>
      <c r="G129" s="190" t="s">
        <v>527</v>
      </c>
      <c r="H129" s="190" t="s">
        <v>528</v>
      </c>
      <c r="I129" s="178" t="str">
        <f t="shared" ref="I129:I133" si="16">+CONCATENATE(F129," ",G129," ",H129)</f>
        <v xml:space="preserve"> Los profesionales de la Dirección de gestión de demanda de cooperación internacional. Elaborar y hacer seguimiento trimestral a treinta planes de trabajo para la vigencia, con las fuentes oficiales y no oficiales de cooperación internacional con las que trabajan. De cada actividad, en caso de observación o desviación porque un plan de trabajo no se esta cumpliendo, se deberán revisar las actividades propuestas y analizar las causas de retraso para poder implementar las acciones correctivas del caso. Este ejercicio se hará conjuntamente con los(las) coordinadores(ras) y el(la) director(a) de la dirección.</v>
      </c>
      <c r="J129" s="179" t="s">
        <v>199</v>
      </c>
      <c r="K129" s="231">
        <f>+IFERROR(VLOOKUP($J129,'11 FORMULAS'!$B$51:$C$53,2,0),"")</f>
        <v>0.25</v>
      </c>
      <c r="L129" s="231" t="str">
        <f>+IF(J129="Preventivo","Probabilidad",IF(J129="Detectivo","Probabilidad",IF(#REF!="Correctivo","Impacto","")))</f>
        <v>Probabilidad</v>
      </c>
      <c r="M129" s="232" t="s">
        <v>211</v>
      </c>
      <c r="N129" s="231">
        <f>+IFERROR(VLOOKUP($M129,'11 FORMULAS'!$B$54:$C$55,2,0),"")</f>
        <v>0.15</v>
      </c>
      <c r="O129" s="233" t="s">
        <v>201</v>
      </c>
      <c r="P129" s="233" t="s">
        <v>291</v>
      </c>
      <c r="Q129" s="233" t="s">
        <v>295</v>
      </c>
      <c r="R129" s="233" t="s">
        <v>204</v>
      </c>
      <c r="S129" s="231">
        <f t="shared" si="13"/>
        <v>0.4</v>
      </c>
      <c r="T129" s="231">
        <f>+IFERROR(U128*S129,"")</f>
        <v>0.14399999999999999</v>
      </c>
      <c r="U129" s="231">
        <f>+IFERROR(U128-T129,"")</f>
        <v>0.216</v>
      </c>
      <c r="V129" s="238"/>
      <c r="X129" s="239"/>
      <c r="Y129" s="247"/>
      <c r="Z129" s="247"/>
    </row>
    <row r="130" spans="1:26" ht="32.450000000000003" customHeight="1" x14ac:dyDescent="0.25">
      <c r="A130" s="252"/>
      <c r="B130" s="188"/>
      <c r="C130" s="253"/>
      <c r="D130" s="254"/>
      <c r="E130" s="178">
        <v>3</v>
      </c>
      <c r="F130" s="189"/>
      <c r="G130" s="190"/>
      <c r="H130" s="190"/>
      <c r="I130" s="178" t="str">
        <f t="shared" si="16"/>
        <v xml:space="preserve">  </v>
      </c>
      <c r="J130" s="179"/>
      <c r="K130" s="231" t="str">
        <f>+IFERROR(VLOOKUP($J130,'11 FORMULAS'!$B$51:$C$53,2,0),"")</f>
        <v/>
      </c>
      <c r="L130" s="231" t="e">
        <f>+IF(J130="Preventivo","Probabilidad",IF(J130="Detectivo","Probabilidad",IF(#REF!="Correctivo","Impacto","")))</f>
        <v>#REF!</v>
      </c>
      <c r="M130" s="232"/>
      <c r="N130" s="231" t="str">
        <f>+IFERROR(VLOOKUP($M130,'11 FORMULAS'!$B$54:$C$55,2,0),"")</f>
        <v/>
      </c>
      <c r="O130" s="233"/>
      <c r="P130" s="233"/>
      <c r="Q130" s="233"/>
      <c r="R130" s="233"/>
      <c r="S130" s="231" t="str">
        <f t="shared" si="13"/>
        <v/>
      </c>
      <c r="T130" s="231" t="str">
        <f t="shared" ref="T130:T133" si="17">+IFERROR(C130*S130,"")</f>
        <v/>
      </c>
      <c r="U130" s="231" t="str">
        <f t="shared" ref="U130:U133" si="18">+IFERROR(S130-T130,"")</f>
        <v/>
      </c>
      <c r="V130" s="238"/>
      <c r="X130" s="239"/>
      <c r="Y130" s="247"/>
      <c r="Z130" s="247"/>
    </row>
    <row r="131" spans="1:26" ht="32.450000000000003" customHeight="1" x14ac:dyDescent="0.25">
      <c r="A131" s="235"/>
      <c r="B131" s="180"/>
      <c r="C131" s="236"/>
      <c r="D131" s="237"/>
      <c r="E131" s="178">
        <v>4</v>
      </c>
      <c r="F131" s="181"/>
      <c r="G131" s="179"/>
      <c r="H131" s="179"/>
      <c r="I131" s="178" t="str">
        <f t="shared" si="16"/>
        <v xml:space="preserve">  </v>
      </c>
      <c r="J131" s="179"/>
      <c r="K131" s="231" t="str">
        <f>+IFERROR(VLOOKUP($J131,'11 FORMULAS'!$B$51:$C$53,2,0),"")</f>
        <v/>
      </c>
      <c r="L131" s="231" t="e">
        <f>+IF(J131="Preventivo","Probabilidad",IF(J131="Detectivo","Probabilidad",IF(#REF!="Correctivo","Impacto","")))</f>
        <v>#REF!</v>
      </c>
      <c r="M131" s="232"/>
      <c r="N131" s="231" t="str">
        <f>+IFERROR(VLOOKUP($M131,'11 FORMULAS'!$B$54:$C$55,2,0),"")</f>
        <v/>
      </c>
      <c r="O131" s="233"/>
      <c r="P131" s="233"/>
      <c r="Q131" s="233"/>
      <c r="R131" s="233"/>
      <c r="S131" s="231" t="str">
        <f t="shared" si="13"/>
        <v/>
      </c>
      <c r="T131" s="231" t="str">
        <f t="shared" si="17"/>
        <v/>
      </c>
      <c r="U131" s="231" t="str">
        <f t="shared" si="18"/>
        <v/>
      </c>
      <c r="V131" s="238"/>
      <c r="X131" s="239"/>
      <c r="Y131" s="247"/>
      <c r="Z131" s="247"/>
    </row>
    <row r="132" spans="1:26" ht="32.450000000000003" customHeight="1" x14ac:dyDescent="0.25">
      <c r="A132" s="235"/>
      <c r="B132" s="180"/>
      <c r="C132" s="236"/>
      <c r="D132" s="237"/>
      <c r="E132" s="178">
        <v>5</v>
      </c>
      <c r="F132" s="181"/>
      <c r="G132" s="179"/>
      <c r="H132" s="179"/>
      <c r="I132" s="178" t="str">
        <f t="shared" si="16"/>
        <v xml:space="preserve">  </v>
      </c>
      <c r="J132" s="179"/>
      <c r="K132" s="231" t="str">
        <f>+IFERROR(VLOOKUP($J132,'11 FORMULAS'!$B$51:$C$53,2,0),"")</f>
        <v/>
      </c>
      <c r="L132" s="231" t="e">
        <f>+IF(J132="Preventivo","Probabilidad",IF(J132="Detectivo","Probabilidad",IF(#REF!="Correctivo","Impacto","")))</f>
        <v>#REF!</v>
      </c>
      <c r="M132" s="232"/>
      <c r="N132" s="231" t="str">
        <f>+IFERROR(VLOOKUP($M132,'11 FORMULAS'!$B$54:$C$55,2,0),"")</f>
        <v/>
      </c>
      <c r="O132" s="233"/>
      <c r="P132" s="233"/>
      <c r="Q132" s="233"/>
      <c r="R132" s="233"/>
      <c r="S132" s="231" t="str">
        <f t="shared" si="13"/>
        <v/>
      </c>
      <c r="T132" s="231" t="str">
        <f t="shared" si="17"/>
        <v/>
      </c>
      <c r="U132" s="231" t="str">
        <f t="shared" si="18"/>
        <v/>
      </c>
      <c r="V132" s="238"/>
      <c r="X132" s="239"/>
      <c r="Y132" s="247"/>
      <c r="Z132" s="247"/>
    </row>
    <row r="133" spans="1:26" ht="32.450000000000003" customHeight="1" thickBot="1" x14ac:dyDescent="0.3">
      <c r="A133" s="240"/>
      <c r="B133" s="182"/>
      <c r="C133" s="241"/>
      <c r="D133" s="242"/>
      <c r="E133" s="243">
        <v>6</v>
      </c>
      <c r="F133" s="183"/>
      <c r="G133" s="184"/>
      <c r="H133" s="184"/>
      <c r="I133" s="178" t="str">
        <f t="shared" si="16"/>
        <v xml:space="preserve">  </v>
      </c>
      <c r="J133" s="179"/>
      <c r="K133" s="231" t="str">
        <f>+IFERROR(VLOOKUP($J133,'11 FORMULAS'!$B$51:$C$53,2,0),"")</f>
        <v/>
      </c>
      <c r="L133" s="231" t="e">
        <f>+IF(J133="Preventivo","Probabilidad",IF(J133="Detectivo","Probabilidad",IF(#REF!="Correctivo","Impacto","")))</f>
        <v>#REF!</v>
      </c>
      <c r="M133" s="232"/>
      <c r="N133" s="231" t="str">
        <f>+IFERROR(VLOOKUP($M133,'11 FORMULAS'!$B$54:$C$55,2,0),"")</f>
        <v/>
      </c>
      <c r="O133" s="233"/>
      <c r="P133" s="233"/>
      <c r="Q133" s="233"/>
      <c r="R133" s="233"/>
      <c r="S133" s="231" t="str">
        <f t="shared" si="13"/>
        <v/>
      </c>
      <c r="T133" s="231" t="str">
        <f t="shared" si="17"/>
        <v/>
      </c>
      <c r="U133" s="231" t="str">
        <f t="shared" si="18"/>
        <v/>
      </c>
      <c r="V133" s="244"/>
    </row>
    <row r="134" spans="1:26" ht="34.5" customHeight="1" x14ac:dyDescent="0.25">
      <c r="A134" s="228" t="str">
        <f>'2 CONTEXTO E IDENTIFICACIÓN'!A30</f>
        <v>R22</v>
      </c>
      <c r="B134" s="175" t="str">
        <f>+'2 CONTEXTO E IDENTIFICACIÓN'!J30</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C134" s="229">
        <f>+'3 PROBABIL E IMPACTO INHERENTE'!E30</f>
        <v>0.6</v>
      </c>
      <c r="D134" s="230">
        <f>+'3 PROBABIL E IMPACTO INHERENTE'!M30</f>
        <v>0.6</v>
      </c>
      <c r="E134" s="246">
        <v>1</v>
      </c>
      <c r="F134" s="176" t="s">
        <v>516</v>
      </c>
      <c r="G134" s="177" t="s">
        <v>517</v>
      </c>
      <c r="H134" s="177" t="s">
        <v>515</v>
      </c>
      <c r="I134" s="178" t="str">
        <f t="shared" ref="I134:I140" si="19">+CONCATENATE(F134," ",G134," ",H134)</f>
        <v>Los profesionales de la Dirección de gestión de demanda de cooperación internacional. Participar en el proceso de mejora continua de las herramientas de registro y divulgación de información sobre la cooperación internacional que recibe el país. En caso de presentarse, debido a que las propuestas de mejora no sean atendidas por el proceso Gestión de tecnologías de la información, la solicitud será elevada al(la) Director(a) administrativo(a) y financiero(a)</v>
      </c>
      <c r="J134" s="179" t="s">
        <v>199</v>
      </c>
      <c r="K134" s="231">
        <f>+IFERROR(VLOOKUP($J134,'11 FORMULAS'!$B$51:$C$53,2,0),"")</f>
        <v>0.25</v>
      </c>
      <c r="L134" s="231" t="str">
        <f>+IF(J134="Preventivo","Probabilidad",IF(J134="Detectivo","Probabilidad",IF(#REF!="Correctivo","Impacto","")))</f>
        <v>Probabilidad</v>
      </c>
      <c r="M134" s="232" t="s">
        <v>211</v>
      </c>
      <c r="N134" s="231">
        <f>+IFERROR(VLOOKUP($M134,'11 FORMULAS'!$B$54:$C$55,2,0),"")</f>
        <v>0.15</v>
      </c>
      <c r="O134" s="233" t="s">
        <v>201</v>
      </c>
      <c r="P134" s="233" t="s">
        <v>291</v>
      </c>
      <c r="Q134" s="233" t="s">
        <v>203</v>
      </c>
      <c r="R134" s="233" t="s">
        <v>223</v>
      </c>
      <c r="S134" s="231">
        <f t="shared" si="13"/>
        <v>0.4</v>
      </c>
      <c r="T134" s="231">
        <f>+IFERROR(C134*S134,"")</f>
        <v>0.24</v>
      </c>
      <c r="U134" s="231">
        <f>+IFERROR(C134-T134,"")</f>
        <v>0.36</v>
      </c>
      <c r="V134" s="234" cm="1">
        <f t="array" ref="V134">LOOKUP(2,1/(U134:U139&lt;&gt;"")*U134:U139)</f>
        <v>7.7759999999999996E-2</v>
      </c>
      <c r="X134" s="239"/>
      <c r="Y134" s="247"/>
      <c r="Z134" s="247"/>
    </row>
    <row r="135" spans="1:26" ht="34.5" customHeight="1" x14ac:dyDescent="0.25">
      <c r="A135" s="252"/>
      <c r="B135" s="188"/>
      <c r="C135" s="253"/>
      <c r="D135" s="254"/>
      <c r="E135" s="178">
        <v>2</v>
      </c>
      <c r="F135" s="189" t="s">
        <v>507</v>
      </c>
      <c r="G135" s="190" t="s">
        <v>519</v>
      </c>
      <c r="H135" s="190" t="s">
        <v>518</v>
      </c>
      <c r="I135" s="178" t="str">
        <f t="shared" si="19"/>
        <v>Los profesionales del grupo de certificados de utilidad común de la Dirección de gestión de demanda de cooperación internacional.  Hacer seguimiento periódico a la matriz de seguimiento a solicitudes de CUC y consolidar bimestralmente una copia de dicha matriz con el propósito de garantizar el cumplimiento de los tiempos establecidos por el Decreto 1651 de 2021, para la expedición de Constancias de registro de proyectos y CUC. En caso de presentarse, debido a que alguna persona del equipo no haya dado respuesta y se aproxima la fecha de vencimiento, los profesionales del grupo de CUC informarán por correo electrónico al responsable y apoyarán (en caso de ser necesario), los avances en el trámite.</v>
      </c>
      <c r="J135" s="179" t="s">
        <v>199</v>
      </c>
      <c r="K135" s="231">
        <f>+IFERROR(VLOOKUP($J135,'11 FORMULAS'!$B$51:$C$53,2,0),"")</f>
        <v>0.25</v>
      </c>
      <c r="L135" s="231" t="str">
        <f>+IF(J135="Preventivo","Probabilidad",IF(J135="Detectivo","Probabilidad",IF(#REF!="Correctivo","Impacto","")))</f>
        <v>Probabilidad</v>
      </c>
      <c r="M135" s="232" t="s">
        <v>211</v>
      </c>
      <c r="N135" s="231">
        <f>+IFERROR(VLOOKUP($M135,'11 FORMULAS'!$B$54:$C$55,2,0),"")</f>
        <v>0.15</v>
      </c>
      <c r="O135" s="233" t="s">
        <v>201</v>
      </c>
      <c r="P135" s="233" t="s">
        <v>290</v>
      </c>
      <c r="Q135" s="233" t="s">
        <v>295</v>
      </c>
      <c r="R135" s="233" t="s">
        <v>223</v>
      </c>
      <c r="S135" s="231">
        <f t="shared" si="13"/>
        <v>0.4</v>
      </c>
      <c r="T135" s="231">
        <f>+IFERROR(U134*S135,"")</f>
        <v>0.14399999999999999</v>
      </c>
      <c r="U135" s="231">
        <f>+IFERROR(U134-T135,"")</f>
        <v>0.216</v>
      </c>
      <c r="V135" s="238"/>
      <c r="X135" s="239"/>
      <c r="Y135" s="247"/>
      <c r="Z135" s="247"/>
    </row>
    <row r="136" spans="1:26" ht="34.5" customHeight="1" x14ac:dyDescent="0.25">
      <c r="A136" s="252"/>
      <c r="B136" s="188"/>
      <c r="C136" s="253"/>
      <c r="D136" s="254"/>
      <c r="E136" s="178">
        <v>3</v>
      </c>
      <c r="F136" s="189" t="s">
        <v>521</v>
      </c>
      <c r="G136" s="190" t="s">
        <v>511</v>
      </c>
      <c r="H136" s="190" t="s">
        <v>520</v>
      </c>
      <c r="I136" s="178" t="str">
        <f t="shared" si="19"/>
        <v xml:space="preserve"> El profesional del grupo de convocatorias de la Dirección de gestión de demanda de cooperación internacional.  Consolidar trimestralmente una copia de la plantilla estandarizada para la recolección y registro de la información sobre convocatorias internacionales en las que Colombia puede participar y que es actualizada permanentemente por los profesionales de la Dirección. En caso de presentarse, debido a que la información reportada no cumpla con los criterios de calidad establecidos, se genera correo electrónico a la fuente de información pidiendo la validación y corrección de la información</v>
      </c>
      <c r="J136" s="179" t="s">
        <v>199</v>
      </c>
      <c r="K136" s="231">
        <f>+IFERROR(VLOOKUP($J136,'11 FORMULAS'!$B$51:$C$53,2,0),"")</f>
        <v>0.25</v>
      </c>
      <c r="L136" s="231" t="str">
        <f>+IF(J136="Preventivo","Probabilidad",IF(J136="Detectivo","Probabilidad",IF(#REF!="Correctivo","Impacto","")))</f>
        <v>Probabilidad</v>
      </c>
      <c r="M136" s="232" t="s">
        <v>211</v>
      </c>
      <c r="N136" s="231">
        <f>+IFERROR(VLOOKUP($M136,'11 FORMULAS'!$B$54:$C$55,2,0),"")</f>
        <v>0.15</v>
      </c>
      <c r="O136" s="233" t="s">
        <v>201</v>
      </c>
      <c r="P136" s="233" t="s">
        <v>291</v>
      </c>
      <c r="Q136" s="233" t="s">
        <v>295</v>
      </c>
      <c r="R136" s="233" t="s">
        <v>223</v>
      </c>
      <c r="S136" s="231">
        <f t="shared" si="13"/>
        <v>0.4</v>
      </c>
      <c r="T136" s="231">
        <f t="shared" ref="T136:T137" si="20">+IFERROR(U135*S136,"")</f>
        <v>8.6400000000000005E-2</v>
      </c>
      <c r="U136" s="231">
        <f t="shared" ref="U136:U137" si="21">+IFERROR(U135-T136,"")</f>
        <v>0.12959999999999999</v>
      </c>
      <c r="V136" s="238"/>
      <c r="X136" s="239"/>
      <c r="Y136" s="247"/>
      <c r="Z136" s="247"/>
    </row>
    <row r="137" spans="1:26" ht="34.5" customHeight="1" x14ac:dyDescent="0.25">
      <c r="A137" s="235"/>
      <c r="B137" s="180"/>
      <c r="C137" s="236"/>
      <c r="D137" s="237"/>
      <c r="E137" s="178">
        <v>4</v>
      </c>
      <c r="F137" s="189" t="s">
        <v>521</v>
      </c>
      <c r="G137" s="179" t="s">
        <v>514</v>
      </c>
      <c r="H137" s="179" t="s">
        <v>522</v>
      </c>
      <c r="I137" s="178" t="str">
        <f t="shared" si="19"/>
        <v xml:space="preserve"> El profesional del grupo de convocatorias de la Dirección de gestión de demanda de cooperación internacional.  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J137" s="179" t="s">
        <v>199</v>
      </c>
      <c r="K137" s="231">
        <f>+IFERROR(VLOOKUP($J137,'11 FORMULAS'!$B$51:$C$53,2,0),"")</f>
        <v>0.25</v>
      </c>
      <c r="L137" s="231" t="str">
        <f>+IF(J137="Preventivo","Probabilidad",IF(J137="Detectivo","Probabilidad",IF(#REF!="Correctivo","Impacto","")))</f>
        <v>Probabilidad</v>
      </c>
      <c r="M137" s="232" t="s">
        <v>211</v>
      </c>
      <c r="N137" s="231">
        <f>+IFERROR(VLOOKUP($M137,'11 FORMULAS'!$B$54:$C$55,2,0),"")</f>
        <v>0.15</v>
      </c>
      <c r="O137" s="233" t="s">
        <v>201</v>
      </c>
      <c r="P137" s="233" t="s">
        <v>291</v>
      </c>
      <c r="Q137" s="233" t="s">
        <v>295</v>
      </c>
      <c r="R137" s="233" t="s">
        <v>223</v>
      </c>
      <c r="S137" s="231">
        <f t="shared" si="13"/>
        <v>0.4</v>
      </c>
      <c r="T137" s="231">
        <f t="shared" si="20"/>
        <v>5.1839999999999997E-2</v>
      </c>
      <c r="U137" s="231">
        <f t="shared" si="21"/>
        <v>7.7759999999999996E-2</v>
      </c>
      <c r="V137" s="238"/>
      <c r="X137" s="239"/>
      <c r="Y137" s="247"/>
      <c r="Z137" s="247"/>
    </row>
    <row r="138" spans="1:26" ht="32.450000000000003" customHeight="1" x14ac:dyDescent="0.25">
      <c r="A138" s="235"/>
      <c r="B138" s="180"/>
      <c r="C138" s="236"/>
      <c r="D138" s="237"/>
      <c r="E138" s="178">
        <v>5</v>
      </c>
      <c r="F138" s="181"/>
      <c r="G138" s="179"/>
      <c r="H138" s="179"/>
      <c r="I138" s="178" t="str">
        <f t="shared" si="19"/>
        <v xml:space="preserve">  </v>
      </c>
      <c r="J138" s="179"/>
      <c r="K138" s="231" t="str">
        <f>+IFERROR(VLOOKUP($J138,'11 FORMULAS'!$B$51:$C$53,2,0),"")</f>
        <v/>
      </c>
      <c r="L138" s="231" t="e">
        <f>+IF(J138="Preventivo","Probabilidad",IF(J138="Detectivo","Probabilidad",IF(#REF!="Correctivo","Impacto","")))</f>
        <v>#REF!</v>
      </c>
      <c r="M138" s="232"/>
      <c r="N138" s="231" t="str">
        <f>+IFERROR(VLOOKUP($M138,'11 FORMULAS'!$B$54:$C$55,2,0),"")</f>
        <v/>
      </c>
      <c r="O138" s="233"/>
      <c r="P138" s="233"/>
      <c r="Q138" s="233"/>
      <c r="R138" s="233"/>
      <c r="S138" s="231" t="str">
        <f t="shared" si="13"/>
        <v/>
      </c>
      <c r="T138" s="231" t="str">
        <f t="shared" ref="T138:T139" si="22">+IFERROR(C138*S138,"")</f>
        <v/>
      </c>
      <c r="U138" s="231" t="str">
        <f t="shared" ref="U138:U139" si="23">+IFERROR(S138-T138,"")</f>
        <v/>
      </c>
      <c r="V138" s="238"/>
      <c r="X138" s="239"/>
      <c r="Y138" s="247"/>
      <c r="Z138" s="247"/>
    </row>
    <row r="139" spans="1:26" ht="32.450000000000003" customHeight="1" thickBot="1" x14ac:dyDescent="0.3">
      <c r="A139" s="240"/>
      <c r="B139" s="182"/>
      <c r="C139" s="241"/>
      <c r="D139" s="242"/>
      <c r="E139" s="243">
        <v>6</v>
      </c>
      <c r="F139" s="183"/>
      <c r="G139" s="184"/>
      <c r="H139" s="184"/>
      <c r="I139" s="178" t="str">
        <f t="shared" si="19"/>
        <v xml:space="preserve">  </v>
      </c>
      <c r="J139" s="179"/>
      <c r="K139" s="231" t="str">
        <f>+IFERROR(VLOOKUP($J139,'11 FORMULAS'!$B$51:$C$53,2,0),"")</f>
        <v/>
      </c>
      <c r="L139" s="231" t="e">
        <f>+IF(J139="Preventivo","Probabilidad",IF(J139="Detectivo","Probabilidad",IF(#REF!="Correctivo","Impacto","")))</f>
        <v>#REF!</v>
      </c>
      <c r="M139" s="232"/>
      <c r="N139" s="231" t="str">
        <f>+IFERROR(VLOOKUP($M139,'11 FORMULAS'!$B$54:$C$55,2,0),"")</f>
        <v/>
      </c>
      <c r="O139" s="233"/>
      <c r="P139" s="233"/>
      <c r="Q139" s="233"/>
      <c r="R139" s="233"/>
      <c r="S139" s="231" t="str">
        <f t="shared" si="13"/>
        <v/>
      </c>
      <c r="T139" s="231" t="str">
        <f t="shared" si="22"/>
        <v/>
      </c>
      <c r="U139" s="231" t="str">
        <f t="shared" si="23"/>
        <v/>
      </c>
      <c r="V139" s="244"/>
    </row>
    <row r="140" spans="1:26" ht="33.6" customHeight="1" x14ac:dyDescent="0.25">
      <c r="A140" s="228" t="str">
        <f>'2 CONTEXTO E IDENTIFICACIÓN'!A31</f>
        <v>R23</v>
      </c>
      <c r="B140" s="175" t="str">
        <f>+'2 CONTEXTO E IDENTIFICACIÓN'!J31</f>
        <v>Posibilidad de afectación reputacional por obtener beneficios tributarios  a causa de que no cumplen con los requisitos del Decreto 1651 de 2021</v>
      </c>
      <c r="C140" s="229">
        <f>+'3 PROBABIL E IMPACTO INHERENTE'!E31</f>
        <v>0.4</v>
      </c>
      <c r="D140" s="230">
        <f>+'3 PROBABIL E IMPACTO INHERENTE'!M31</f>
        <v>0.4</v>
      </c>
      <c r="E140" s="246">
        <v>1</v>
      </c>
      <c r="F140" s="176" t="s">
        <v>507</v>
      </c>
      <c r="G140" s="177" t="s">
        <v>508</v>
      </c>
      <c r="H140" s="177" t="s">
        <v>506</v>
      </c>
      <c r="I140" s="178" t="str">
        <f t="shared" si="19"/>
        <v>Los profesionales del grupo de certificados de utilidad común de la Dirección de gestión de demanda de cooperación internacional.  Mantener campañas informativas sobre el proceso y los mecanismos de validación de CUC En caso de no poderse avanzar con campañas informativas, se programarán capacitaciones y/o charlas específicas a grupos de valor que puedan verse afectados por el riesgo identificado. Adicionalmente, se publicará información de manera permanente en la página Web de la Agencia.</v>
      </c>
      <c r="J140" s="179" t="s">
        <v>199</v>
      </c>
      <c r="K140" s="231">
        <f>+IFERROR(VLOOKUP($J140,'11 FORMULAS'!$B$51:$C$53,2,0),"")</f>
        <v>0.25</v>
      </c>
      <c r="L140" s="231" t="str">
        <f>+IF(J140="Preventivo","Probabilidad",IF(J140="Detectivo","Probabilidad",IF(#REF!="Correctivo","Impacto","")))</f>
        <v>Probabilidad</v>
      </c>
      <c r="M140" s="232" t="s">
        <v>211</v>
      </c>
      <c r="N140" s="231">
        <f>+IFERROR(VLOOKUP($M140,'11 FORMULAS'!$B$54:$C$55,2,0),"")</f>
        <v>0.15</v>
      </c>
      <c r="O140" s="233" t="s">
        <v>201</v>
      </c>
      <c r="P140" s="233" t="s">
        <v>290</v>
      </c>
      <c r="Q140" s="233" t="s">
        <v>295</v>
      </c>
      <c r="R140" s="233" t="s">
        <v>204</v>
      </c>
      <c r="S140" s="231">
        <f t="shared" si="13"/>
        <v>0.4</v>
      </c>
      <c r="T140" s="231">
        <f>+IFERROR(C140*S140,"")</f>
        <v>0.16000000000000003</v>
      </c>
      <c r="U140" s="231">
        <f>+IFERROR(C140-T140,"")</f>
        <v>0.24</v>
      </c>
      <c r="V140" s="234" cm="1">
        <f t="array" ref="V140">LOOKUP(2,1/(U140:U145&lt;&gt;"")*U140:U145)</f>
        <v>8.6399999999999991E-2</v>
      </c>
      <c r="X140" s="239"/>
      <c r="Y140" s="247"/>
      <c r="Z140" s="247"/>
    </row>
    <row r="141" spans="1:26" ht="33.6" customHeight="1" x14ac:dyDescent="0.25">
      <c r="A141" s="252"/>
      <c r="B141" s="188"/>
      <c r="C141" s="253"/>
      <c r="D141" s="254"/>
      <c r="E141" s="178">
        <v>2</v>
      </c>
      <c r="F141" s="189" t="s">
        <v>510</v>
      </c>
      <c r="G141" s="190" t="s">
        <v>511</v>
      </c>
      <c r="H141" s="190" t="s">
        <v>509</v>
      </c>
      <c r="I141" s="178" t="str">
        <f t="shared" ref="I141:I145" si="24">+CONCATENATE(F141," ",G141," ",H141)</f>
        <v>El profesional del grupo de convocatorias de la Dirección de gestión de demanda de cooperación internacional. Consolidar trimestralmente una copia de la plantilla estandarizada para la recolección y registro de la información sobre convocatorias internacionales en las que Colombia puede participar y que es actualizada permanentemente por los profesionales de la Dirección. En caso de presentarse, debido a que la información reportada no cumpla con los criterios de calidad establecidos, se genera correo electrónico a la fuente de información pidiendo la validación y corrección de la información.</v>
      </c>
      <c r="J141" s="179" t="s">
        <v>199</v>
      </c>
      <c r="K141" s="231">
        <f>+IFERROR(VLOOKUP($J141,'11 FORMULAS'!$B$51:$C$53,2,0),"")</f>
        <v>0.25</v>
      </c>
      <c r="L141" s="231" t="str">
        <f>+IF(J141="Preventivo","Probabilidad",IF(J141="Detectivo","Probabilidad",IF(#REF!="Correctivo","Impacto","")))</f>
        <v>Probabilidad</v>
      </c>
      <c r="M141" s="232" t="s">
        <v>211</v>
      </c>
      <c r="N141" s="231">
        <f>+IFERROR(VLOOKUP($M141,'11 FORMULAS'!$B$54:$C$55,2,0),"")</f>
        <v>0.15</v>
      </c>
      <c r="O141" s="233" t="s">
        <v>201</v>
      </c>
      <c r="P141" s="233" t="s">
        <v>291</v>
      </c>
      <c r="Q141" s="233" t="s">
        <v>295</v>
      </c>
      <c r="R141" s="233" t="s">
        <v>204</v>
      </c>
      <c r="S141" s="231">
        <f t="shared" si="13"/>
        <v>0.4</v>
      </c>
      <c r="T141" s="231">
        <f>+IFERROR(U140*S141,"")</f>
        <v>9.6000000000000002E-2</v>
      </c>
      <c r="U141" s="231">
        <f>+IFERROR(U140-T141,"")</f>
        <v>0.14399999999999999</v>
      </c>
      <c r="V141" s="238"/>
      <c r="X141" s="239"/>
      <c r="Y141" s="247"/>
      <c r="Z141" s="247"/>
    </row>
    <row r="142" spans="1:26" ht="33.6" customHeight="1" x14ac:dyDescent="0.25">
      <c r="A142" s="252"/>
      <c r="B142" s="188"/>
      <c r="C142" s="253"/>
      <c r="D142" s="254"/>
      <c r="E142" s="178">
        <v>3</v>
      </c>
      <c r="F142" s="189" t="s">
        <v>513</v>
      </c>
      <c r="G142" s="190" t="s">
        <v>514</v>
      </c>
      <c r="H142" s="190" t="s">
        <v>512</v>
      </c>
      <c r="I142" s="178" t="str">
        <f t="shared" si="24"/>
        <v>El profesional responsable del registro de convocatorias internacionales. 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J142" s="179" t="s">
        <v>199</v>
      </c>
      <c r="K142" s="231">
        <f>+IFERROR(VLOOKUP($J142,'11 FORMULAS'!$B$51:$C$53,2,0),"")</f>
        <v>0.25</v>
      </c>
      <c r="L142" s="231" t="str">
        <f>+IF(J142="Preventivo","Probabilidad",IF(J142="Detectivo","Probabilidad",IF(#REF!="Correctivo","Impacto","")))</f>
        <v>Probabilidad</v>
      </c>
      <c r="M142" s="232" t="s">
        <v>211</v>
      </c>
      <c r="N142" s="231">
        <f>+IFERROR(VLOOKUP($M142,'11 FORMULAS'!$B$54:$C$55,2,0),"")</f>
        <v>0.15</v>
      </c>
      <c r="O142" s="233" t="s">
        <v>201</v>
      </c>
      <c r="P142" s="233" t="s">
        <v>286</v>
      </c>
      <c r="Q142" s="233" t="s">
        <v>295</v>
      </c>
      <c r="R142" s="233" t="s">
        <v>223</v>
      </c>
      <c r="S142" s="231">
        <f t="shared" si="13"/>
        <v>0.4</v>
      </c>
      <c r="T142" s="231">
        <f t="shared" ref="T142" si="25">+IFERROR(U141*S142,"")</f>
        <v>5.7599999999999998E-2</v>
      </c>
      <c r="U142" s="231">
        <f t="shared" ref="U142" si="26">+IFERROR(U141-T142,"")</f>
        <v>8.6399999999999991E-2</v>
      </c>
      <c r="V142" s="238"/>
      <c r="X142" s="239"/>
      <c r="Y142" s="247"/>
      <c r="Z142" s="247"/>
    </row>
    <row r="143" spans="1:26" ht="32.450000000000003" customHeight="1" x14ac:dyDescent="0.25">
      <c r="A143" s="235"/>
      <c r="B143" s="180"/>
      <c r="C143" s="236"/>
      <c r="D143" s="237"/>
      <c r="E143" s="178">
        <v>4</v>
      </c>
      <c r="F143" s="181"/>
      <c r="G143" s="179"/>
      <c r="H143" s="179"/>
      <c r="I143" s="178" t="str">
        <f t="shared" si="24"/>
        <v xml:space="preserve">  </v>
      </c>
      <c r="J143" s="179"/>
      <c r="K143" s="231" t="str">
        <f>+IFERROR(VLOOKUP($J143,'11 FORMULAS'!$B$51:$C$53,2,0),"")</f>
        <v/>
      </c>
      <c r="L143" s="231" t="e">
        <f>+IF(J143="Preventivo","Probabilidad",IF(J143="Detectivo","Probabilidad",IF(#REF!="Correctivo","Impacto","")))</f>
        <v>#REF!</v>
      </c>
      <c r="M143" s="232"/>
      <c r="N143" s="231" t="str">
        <f>+IFERROR(VLOOKUP($M143,'11 FORMULAS'!$B$54:$C$55,2,0),"")</f>
        <v/>
      </c>
      <c r="O143" s="233"/>
      <c r="P143" s="233"/>
      <c r="Q143" s="233"/>
      <c r="R143" s="233"/>
      <c r="S143" s="231" t="str">
        <f t="shared" si="13"/>
        <v/>
      </c>
      <c r="T143" s="231" t="str">
        <f t="shared" ref="T143:T145" si="27">+IFERROR(C143*S143,"")</f>
        <v/>
      </c>
      <c r="U143" s="231" t="str">
        <f t="shared" ref="U143:U145" si="28">+IFERROR(S143-T143,"")</f>
        <v/>
      </c>
      <c r="V143" s="238"/>
      <c r="X143" s="239"/>
      <c r="Y143" s="247"/>
      <c r="Z143" s="247"/>
    </row>
    <row r="144" spans="1:26" ht="32.450000000000003" customHeight="1" x14ac:dyDescent="0.25">
      <c r="A144" s="235"/>
      <c r="B144" s="180"/>
      <c r="C144" s="236"/>
      <c r="D144" s="237"/>
      <c r="E144" s="178">
        <v>5</v>
      </c>
      <c r="F144" s="181"/>
      <c r="G144" s="179"/>
      <c r="H144" s="179"/>
      <c r="I144" s="178" t="str">
        <f t="shared" si="24"/>
        <v xml:space="preserve">  </v>
      </c>
      <c r="J144" s="179"/>
      <c r="K144" s="231" t="str">
        <f>+IFERROR(VLOOKUP($J144,'11 FORMULAS'!$B$51:$C$53,2,0),"")</f>
        <v/>
      </c>
      <c r="L144" s="231" t="e">
        <f>+IF(J144="Preventivo","Probabilidad",IF(J144="Detectivo","Probabilidad",IF(#REF!="Correctivo","Impacto","")))</f>
        <v>#REF!</v>
      </c>
      <c r="M144" s="232"/>
      <c r="N144" s="231" t="str">
        <f>+IFERROR(VLOOKUP($M144,'11 FORMULAS'!$B$54:$C$55,2,0),"")</f>
        <v/>
      </c>
      <c r="O144" s="233"/>
      <c r="P144" s="233"/>
      <c r="Q144" s="233"/>
      <c r="R144" s="233"/>
      <c r="S144" s="231" t="str">
        <f t="shared" si="13"/>
        <v/>
      </c>
      <c r="T144" s="231" t="str">
        <f t="shared" si="27"/>
        <v/>
      </c>
      <c r="U144" s="231" t="str">
        <f t="shared" si="28"/>
        <v/>
      </c>
      <c r="V144" s="238"/>
      <c r="X144" s="239"/>
      <c r="Y144" s="247"/>
      <c r="Z144" s="247"/>
    </row>
    <row r="145" spans="1:26" ht="32.450000000000003" customHeight="1" thickBot="1" x14ac:dyDescent="0.3">
      <c r="A145" s="240"/>
      <c r="B145" s="182"/>
      <c r="C145" s="241"/>
      <c r="D145" s="242"/>
      <c r="E145" s="243">
        <v>6</v>
      </c>
      <c r="F145" s="183"/>
      <c r="G145" s="184"/>
      <c r="H145" s="184"/>
      <c r="I145" s="178" t="str">
        <f t="shared" si="24"/>
        <v xml:space="preserve">  </v>
      </c>
      <c r="J145" s="179"/>
      <c r="K145" s="231" t="str">
        <f>+IFERROR(VLOOKUP($J145,'11 FORMULAS'!$B$51:$C$53,2,0),"")</f>
        <v/>
      </c>
      <c r="L145" s="231" t="e">
        <f>+IF(J145="Preventivo","Probabilidad",IF(J145="Detectivo","Probabilidad",IF(#REF!="Correctivo","Impacto","")))</f>
        <v>#REF!</v>
      </c>
      <c r="M145" s="232"/>
      <c r="N145" s="231" t="str">
        <f>+IFERROR(VLOOKUP($M145,'11 FORMULAS'!$B$54:$C$55,2,0),"")</f>
        <v/>
      </c>
      <c r="O145" s="233"/>
      <c r="P145" s="233"/>
      <c r="Q145" s="233"/>
      <c r="R145" s="233"/>
      <c r="S145" s="231" t="str">
        <f t="shared" si="13"/>
        <v/>
      </c>
      <c r="T145" s="231" t="str">
        <f t="shared" si="27"/>
        <v/>
      </c>
      <c r="U145" s="231" t="str">
        <f t="shared" si="28"/>
        <v/>
      </c>
      <c r="V145" s="244"/>
    </row>
    <row r="146" spans="1:26" ht="34.5" customHeight="1" x14ac:dyDescent="0.25">
      <c r="A146" s="228" t="str">
        <f>'2 CONTEXTO E IDENTIFICACIÓN'!A32</f>
        <v>R24</v>
      </c>
      <c r="B146" s="175" t="str">
        <f>+'2 CONTEXTO E IDENTIFICACIÓN'!J32</f>
        <v>Posibilidad de afectación económica y reputacional porsanción, multa o penalidad a causa de   la indebida supervisión de los contratos o convenios suscritos</v>
      </c>
      <c r="C146" s="229">
        <f>+'3 PROBABIL E IMPACTO INHERENTE'!E32</f>
        <v>0.6</v>
      </c>
      <c r="D146" s="230">
        <f>+'3 PROBABIL E IMPACTO INHERENTE'!M32</f>
        <v>0.6</v>
      </c>
      <c r="E146" s="246">
        <v>1</v>
      </c>
      <c r="F146" s="176" t="s">
        <v>498</v>
      </c>
      <c r="G146" s="177" t="s">
        <v>499</v>
      </c>
      <c r="H146" s="177" t="s">
        <v>497</v>
      </c>
      <c r="I146" s="178" t="str">
        <f t="shared" ref="I146:I151" si="29">+CONCATENATE(F146," ",G146," ",H146)</f>
        <v xml:space="preserve">El(la) coordinador(a) del grupo interno de trabajo de Gestión contractual.  Gestionar la capacitación a los supervisores en normatividad y regulación interna, en cuanto a las funciones del supervisor de contratos o convenios. Cuando aplique se realiza ajustes necesarios frente a los temas a capacitar y/o reprograma la capacitación. </v>
      </c>
      <c r="J146" s="179" t="s">
        <v>199</v>
      </c>
      <c r="K146" s="231">
        <f>+IFERROR(VLOOKUP($J146,'11 FORMULAS'!$B$51:$C$53,2,0),"")</f>
        <v>0.25</v>
      </c>
      <c r="L146" s="231" t="str">
        <f>+IF(J146="Preventivo","Probabilidad",IF(J146="Detectivo","Probabilidad",IF(#REF!="Correctivo","Impacto","")))</f>
        <v>Probabilidad</v>
      </c>
      <c r="M146" s="232" t="s">
        <v>211</v>
      </c>
      <c r="N146" s="231">
        <f>+IFERROR(VLOOKUP($M146,'11 FORMULAS'!$B$54:$C$55,2,0),"")</f>
        <v>0.15</v>
      </c>
      <c r="O146" s="233" t="s">
        <v>201</v>
      </c>
      <c r="P146" s="233" t="s">
        <v>286</v>
      </c>
      <c r="Q146" s="233" t="s">
        <v>203</v>
      </c>
      <c r="R146" s="233" t="s">
        <v>204</v>
      </c>
      <c r="S146" s="231">
        <f t="shared" si="13"/>
        <v>0.4</v>
      </c>
      <c r="T146" s="231">
        <f>+IFERROR(C146*S146,"")</f>
        <v>0.24</v>
      </c>
      <c r="U146" s="231">
        <f>+IFERROR(C146-T146,"")</f>
        <v>0.36</v>
      </c>
      <c r="V146" s="234" cm="1">
        <f t="array" ref="V146">LOOKUP(2,1/(U146:U151&lt;&gt;"")*U146:U151)</f>
        <v>0.12959999999999999</v>
      </c>
      <c r="X146" s="239"/>
      <c r="Y146" s="247"/>
      <c r="Z146" s="247"/>
    </row>
    <row r="147" spans="1:26" ht="34.5" customHeight="1" x14ac:dyDescent="0.25">
      <c r="A147" s="252"/>
      <c r="B147" s="188"/>
      <c r="C147" s="253"/>
      <c r="D147" s="254"/>
      <c r="E147" s="178">
        <v>2</v>
      </c>
      <c r="F147" s="189" t="s">
        <v>501</v>
      </c>
      <c r="G147" s="190" t="s">
        <v>502</v>
      </c>
      <c r="H147" s="190" t="s">
        <v>500</v>
      </c>
      <c r="I147" s="178" t="str">
        <f t="shared" si="29"/>
        <v xml:space="preserve">El(la) coordinador(a) del grupo interno de trabajo de gestión contractual.  Realizar la verificación del cargue de los informes de seguimiento de contratos y convenios en SECOP II para pagos en SIIF Nación. nforma al jefe inmediato del supervisor del contrato o convenio para la toma de acciones correctivas frente a la situación presentada. </v>
      </c>
      <c r="J147" s="179" t="s">
        <v>199</v>
      </c>
      <c r="K147" s="231">
        <f>+IFERROR(VLOOKUP($J147,'11 FORMULAS'!$B$51:$C$53,2,0),"")</f>
        <v>0.25</v>
      </c>
      <c r="L147" s="231" t="str">
        <f>+IF(J147="Preventivo","Probabilidad",IF(J147="Detectivo","Probabilidad",IF(#REF!="Correctivo","Impacto","")))</f>
        <v>Probabilidad</v>
      </c>
      <c r="M147" s="232" t="s">
        <v>211</v>
      </c>
      <c r="N147" s="231">
        <f>+IFERROR(VLOOKUP($M147,'11 FORMULAS'!$B$54:$C$55,2,0),"")</f>
        <v>0.15</v>
      </c>
      <c r="O147" s="233" t="s">
        <v>201</v>
      </c>
      <c r="P147" s="233" t="s">
        <v>286</v>
      </c>
      <c r="Q147" s="233" t="s">
        <v>295</v>
      </c>
      <c r="R147" s="233" t="s">
        <v>204</v>
      </c>
      <c r="S147" s="231">
        <f t="shared" si="13"/>
        <v>0.4</v>
      </c>
      <c r="T147" s="231">
        <f>+IFERROR(U146*S147,"")</f>
        <v>0.14399999999999999</v>
      </c>
      <c r="U147" s="231">
        <f>+IFERROR(U146-T147,"")</f>
        <v>0.216</v>
      </c>
      <c r="V147" s="238"/>
      <c r="X147" s="239"/>
      <c r="Y147" s="247"/>
      <c r="Z147" s="247"/>
    </row>
    <row r="148" spans="1:26" ht="34.5" customHeight="1" x14ac:dyDescent="0.25">
      <c r="A148" s="252"/>
      <c r="B148" s="188"/>
      <c r="C148" s="253"/>
      <c r="D148" s="254"/>
      <c r="E148" s="178">
        <v>3</v>
      </c>
      <c r="F148" s="189" t="s">
        <v>504</v>
      </c>
      <c r="G148" s="190" t="s">
        <v>505</v>
      </c>
      <c r="H148" s="190" t="s">
        <v>503</v>
      </c>
      <c r="I148" s="178" t="str">
        <f t="shared" si="29"/>
        <v>El(la) ordenador(a) del gasto, el(la) director(a) general, los directores técnicos, y el(la)
coordinador(a) del grupo interno de trabajo de Gestión contractual.  Realizar seguimiento a la supervisión de contratos y convenios suscritos.  Se analizan  las novedades presentadas en el ejercicio de la supervisón para tomar las medidas respectivas, escalando a la instancia correspondiente y evitar la la indebida supervisión de los contratos o convenios suscritos.</v>
      </c>
      <c r="J148" s="179" t="s">
        <v>199</v>
      </c>
      <c r="K148" s="231">
        <f>+IFERROR(VLOOKUP($J148,'11 FORMULAS'!$B$51:$C$53,2,0),"")</f>
        <v>0.25</v>
      </c>
      <c r="L148" s="231" t="str">
        <f>+IF(J148="Preventivo","Probabilidad",IF(J148="Detectivo","Probabilidad",IF(#REF!="Correctivo","Impacto","")))</f>
        <v>Probabilidad</v>
      </c>
      <c r="M148" s="232" t="s">
        <v>211</v>
      </c>
      <c r="N148" s="231">
        <f>+IFERROR(VLOOKUP($M148,'11 FORMULAS'!$B$54:$C$55,2,0),"")</f>
        <v>0.15</v>
      </c>
      <c r="O148" s="233" t="s">
        <v>201</v>
      </c>
      <c r="P148" s="233" t="s">
        <v>291</v>
      </c>
      <c r="Q148" s="233" t="s">
        <v>295</v>
      </c>
      <c r="R148" s="233" t="s">
        <v>204</v>
      </c>
      <c r="S148" s="231">
        <f t="shared" si="13"/>
        <v>0.4</v>
      </c>
      <c r="T148" s="231">
        <f t="shared" ref="T148" si="30">+IFERROR(U147*S148,"")</f>
        <v>8.6400000000000005E-2</v>
      </c>
      <c r="U148" s="231">
        <f t="shared" ref="U148" si="31">+IFERROR(U147-T148,"")</f>
        <v>0.12959999999999999</v>
      </c>
      <c r="V148" s="238"/>
      <c r="X148" s="239"/>
      <c r="Y148" s="247"/>
      <c r="Z148" s="247"/>
    </row>
    <row r="149" spans="1:26" ht="32.450000000000003" customHeight="1" x14ac:dyDescent="0.25">
      <c r="A149" s="235"/>
      <c r="B149" s="180"/>
      <c r="C149" s="236"/>
      <c r="D149" s="237"/>
      <c r="E149" s="178">
        <v>4</v>
      </c>
      <c r="F149" s="181"/>
      <c r="G149" s="179"/>
      <c r="H149" s="179"/>
      <c r="I149" s="178" t="str">
        <f t="shared" si="29"/>
        <v xml:space="preserve">  </v>
      </c>
      <c r="J149" s="179"/>
      <c r="K149" s="231" t="str">
        <f>+IFERROR(VLOOKUP($J149,'11 FORMULAS'!$B$51:$C$53,2,0),"")</f>
        <v/>
      </c>
      <c r="L149" s="231" t="e">
        <f>+IF(J149="Preventivo","Probabilidad",IF(J149="Detectivo","Probabilidad",IF(#REF!="Correctivo","Impacto","")))</f>
        <v>#REF!</v>
      </c>
      <c r="M149" s="232"/>
      <c r="N149" s="231" t="str">
        <f>+IFERROR(VLOOKUP($M149,'11 FORMULAS'!$B$54:$C$55,2,0),"")</f>
        <v/>
      </c>
      <c r="O149" s="233"/>
      <c r="P149" s="233"/>
      <c r="Q149" s="233"/>
      <c r="R149" s="233"/>
      <c r="S149" s="231" t="str">
        <f t="shared" si="13"/>
        <v/>
      </c>
      <c r="T149" s="231" t="str">
        <f t="shared" ref="T149:T151" si="32">+IFERROR(C149*S149,"")</f>
        <v/>
      </c>
      <c r="U149" s="231" t="str">
        <f t="shared" ref="U149:U151" si="33">+IFERROR(S149-T149,"")</f>
        <v/>
      </c>
      <c r="V149" s="238"/>
      <c r="X149" s="239"/>
      <c r="Y149" s="247"/>
      <c r="Z149" s="247"/>
    </row>
    <row r="150" spans="1:26" ht="32.450000000000003" customHeight="1" x14ac:dyDescent="0.25">
      <c r="A150" s="235"/>
      <c r="B150" s="180"/>
      <c r="C150" s="236"/>
      <c r="D150" s="237"/>
      <c r="E150" s="178">
        <v>5</v>
      </c>
      <c r="F150" s="181"/>
      <c r="G150" s="179"/>
      <c r="H150" s="179"/>
      <c r="I150" s="178" t="str">
        <f t="shared" si="29"/>
        <v xml:space="preserve">  </v>
      </c>
      <c r="J150" s="179"/>
      <c r="K150" s="231" t="str">
        <f>+IFERROR(VLOOKUP($J150,'11 FORMULAS'!$B$51:$C$53,2,0),"")</f>
        <v/>
      </c>
      <c r="L150" s="231" t="e">
        <f>+IF(J150="Preventivo","Probabilidad",IF(J150="Detectivo","Probabilidad",IF(#REF!="Correctivo","Impacto","")))</f>
        <v>#REF!</v>
      </c>
      <c r="M150" s="232"/>
      <c r="N150" s="231" t="str">
        <f>+IFERROR(VLOOKUP($M150,'11 FORMULAS'!$B$54:$C$55,2,0),"")</f>
        <v/>
      </c>
      <c r="O150" s="233"/>
      <c r="P150" s="233"/>
      <c r="Q150" s="233"/>
      <c r="R150" s="233"/>
      <c r="S150" s="231" t="str">
        <f t="shared" si="13"/>
        <v/>
      </c>
      <c r="T150" s="231" t="str">
        <f t="shared" si="32"/>
        <v/>
      </c>
      <c r="U150" s="231" t="str">
        <f t="shared" si="33"/>
        <v/>
      </c>
      <c r="V150" s="238"/>
      <c r="X150" s="239"/>
      <c r="Y150" s="247"/>
      <c r="Z150" s="247"/>
    </row>
    <row r="151" spans="1:26" ht="32.450000000000003" customHeight="1" thickBot="1" x14ac:dyDescent="0.3">
      <c r="A151" s="240"/>
      <c r="B151" s="182"/>
      <c r="C151" s="241"/>
      <c r="D151" s="242"/>
      <c r="E151" s="243">
        <v>6</v>
      </c>
      <c r="F151" s="183"/>
      <c r="G151" s="184"/>
      <c r="H151" s="184"/>
      <c r="I151" s="178" t="str">
        <f t="shared" si="29"/>
        <v xml:space="preserve">  </v>
      </c>
      <c r="J151" s="179"/>
      <c r="K151" s="231" t="str">
        <f>+IFERROR(VLOOKUP($J151,'11 FORMULAS'!$B$51:$C$53,2,0),"")</f>
        <v/>
      </c>
      <c r="L151" s="231" t="e">
        <f>+IF(J151="Preventivo","Probabilidad",IF(J151="Detectivo","Probabilidad",IF(#REF!="Correctivo","Impacto","")))</f>
        <v>#REF!</v>
      </c>
      <c r="M151" s="232"/>
      <c r="N151" s="231" t="str">
        <f>+IFERROR(VLOOKUP($M151,'11 FORMULAS'!$B$54:$C$55,2,0),"")</f>
        <v/>
      </c>
      <c r="O151" s="233"/>
      <c r="P151" s="233"/>
      <c r="Q151" s="233"/>
      <c r="R151" s="233"/>
      <c r="S151" s="231" t="str">
        <f t="shared" si="13"/>
        <v/>
      </c>
      <c r="T151" s="231" t="str">
        <f t="shared" si="32"/>
        <v/>
      </c>
      <c r="U151" s="231" t="str">
        <f t="shared" si="33"/>
        <v/>
      </c>
      <c r="V151" s="244"/>
    </row>
    <row r="152" spans="1:26" ht="32.450000000000003" customHeight="1" x14ac:dyDescent="0.25">
      <c r="A152" s="228" t="str">
        <f>'2 CONTEXTO E IDENTIFICACIÓN'!A33</f>
        <v>R25</v>
      </c>
      <c r="B152" s="175" t="str">
        <f>+'2 CONTEXTO E IDENTIFICACIÓN'!J33</f>
        <v>Posibilidad de afectación económica y reputacional por una sanción de las autoridades competentes a causa de  favorecimiento indebido a un tercero con los recursos asignados de contrapartida</v>
      </c>
      <c r="C152" s="229">
        <f>+'3 PROBABIL E IMPACTO INHERENTE'!E33</f>
        <v>0.4</v>
      </c>
      <c r="D152" s="230">
        <f>+'3 PROBABIL E IMPACTO INHERENTE'!M33</f>
        <v>0.4</v>
      </c>
      <c r="E152" s="246">
        <v>1</v>
      </c>
      <c r="F152" s="176" t="s">
        <v>495</v>
      </c>
      <c r="G152" s="177" t="s">
        <v>496</v>
      </c>
      <c r="H152" s="177" t="s">
        <v>494</v>
      </c>
      <c r="I152" s="178" t="str">
        <f t="shared" ref="I152:I193" si="34">+CONCATENATE(F152," ",G152," ",H152)</f>
        <v>Profesionales y contratistas que hacen parte del grupo interno de trabajo de apoyos financieros para la  cooperación internacional .  Generar criterios de evaluación tecnica, financiera y legal de la iniciativas propuestas garantizando imparcialidad, e igualdad de condiciones en cualquiera de las metodologias de identificación y selección  de iniciativas contempladas en el manual de contrapartidas nacional.  En caso de que se consideren los criterios insuficientes, se invitará a la mesa tecnica, miembros de otras direcciones misionales de la entidad para ajustar los criterios y su medida de calificación.</v>
      </c>
      <c r="J152" s="179" t="s">
        <v>199</v>
      </c>
      <c r="K152" s="231">
        <f>+IFERROR(VLOOKUP($J152,'11 FORMULAS'!$B$51:$C$53,2,0),"")</f>
        <v>0.25</v>
      </c>
      <c r="L152" s="231" t="str">
        <f>+IF(J152="Preventivo","Probabilidad",IF(J152="Detectivo","Probabilidad",IF(#REF!="Correctivo","Impacto","")))</f>
        <v>Probabilidad</v>
      </c>
      <c r="M152" s="232" t="s">
        <v>211</v>
      </c>
      <c r="N152" s="231">
        <f>+IFERROR(VLOOKUP($M152,'11 FORMULAS'!$B$54:$C$55,2,0),"")</f>
        <v>0.15</v>
      </c>
      <c r="O152" s="233" t="s">
        <v>201</v>
      </c>
      <c r="P152" s="233" t="s">
        <v>286</v>
      </c>
      <c r="Q152" s="233" t="s">
        <v>203</v>
      </c>
      <c r="R152" s="233" t="s">
        <v>204</v>
      </c>
      <c r="S152" s="231">
        <f t="shared" si="13"/>
        <v>0.4</v>
      </c>
      <c r="T152" s="231">
        <f>+IFERROR(C152*S152,"")</f>
        <v>0.16000000000000003</v>
      </c>
      <c r="U152" s="231">
        <f>+IFERROR(C152-T152,"")</f>
        <v>0.24</v>
      </c>
      <c r="V152" s="234" cm="1">
        <f t="array" ref="V152">LOOKUP(2,1/(U152:U157&lt;&gt;"")*U152:U157)</f>
        <v>0.24</v>
      </c>
      <c r="X152" s="239"/>
      <c r="Y152" s="247"/>
      <c r="Z152" s="247"/>
    </row>
    <row r="153" spans="1:26" ht="32.450000000000003" customHeight="1" x14ac:dyDescent="0.25">
      <c r="A153" s="252"/>
      <c r="B153" s="188"/>
      <c r="C153" s="253"/>
      <c r="D153" s="254"/>
      <c r="E153" s="178">
        <v>2</v>
      </c>
      <c r="F153" s="189"/>
      <c r="G153" s="190"/>
      <c r="H153" s="190"/>
      <c r="I153" s="178" t="str">
        <f t="shared" si="34"/>
        <v xml:space="preserve">  </v>
      </c>
      <c r="J153" s="179"/>
      <c r="K153" s="231" t="str">
        <f>+IFERROR(VLOOKUP($J153,'11 FORMULAS'!$B$51:$C$53,2,0),"")</f>
        <v/>
      </c>
      <c r="L153" s="231" t="e">
        <f>+IF(J153="Preventivo","Probabilidad",IF(J153="Detectivo","Probabilidad",IF(#REF!="Correctivo","Impacto","")))</f>
        <v>#REF!</v>
      </c>
      <c r="M153" s="232"/>
      <c r="N153" s="231" t="str">
        <f>+IFERROR(VLOOKUP($M153,'11 FORMULAS'!$B$54:$C$55,2,0),"")</f>
        <v/>
      </c>
      <c r="O153" s="233"/>
      <c r="P153" s="233"/>
      <c r="Q153" s="233"/>
      <c r="R153" s="233"/>
      <c r="S153" s="231" t="str">
        <f t="shared" si="13"/>
        <v/>
      </c>
      <c r="T153" s="231" t="str">
        <f t="shared" ref="T153:T157" si="35">+IFERROR(C153*S153,"")</f>
        <v/>
      </c>
      <c r="U153" s="231" t="str">
        <f t="shared" ref="U153:U157" si="36">+IFERROR(S153-T153,"")</f>
        <v/>
      </c>
      <c r="V153" s="238"/>
      <c r="X153" s="239"/>
      <c r="Y153" s="247"/>
      <c r="Z153" s="247"/>
    </row>
    <row r="154" spans="1:26" ht="32.450000000000003" customHeight="1" x14ac:dyDescent="0.25">
      <c r="A154" s="252"/>
      <c r="B154" s="188"/>
      <c r="C154" s="253"/>
      <c r="D154" s="254"/>
      <c r="E154" s="178">
        <v>3</v>
      </c>
      <c r="F154" s="189"/>
      <c r="G154" s="190"/>
      <c r="H154" s="190"/>
      <c r="I154" s="178" t="str">
        <f t="shared" si="34"/>
        <v xml:space="preserve">  </v>
      </c>
      <c r="J154" s="179"/>
      <c r="K154" s="231" t="str">
        <f>+IFERROR(VLOOKUP($J154,'11 FORMULAS'!$B$51:$C$53,2,0),"")</f>
        <v/>
      </c>
      <c r="L154" s="231" t="e">
        <f>+IF(J154="Preventivo","Probabilidad",IF(J154="Detectivo","Probabilidad",IF(#REF!="Correctivo","Impacto","")))</f>
        <v>#REF!</v>
      </c>
      <c r="M154" s="232"/>
      <c r="N154" s="231" t="str">
        <f>+IFERROR(VLOOKUP($M154,'11 FORMULAS'!$B$54:$C$55,2,0),"")</f>
        <v/>
      </c>
      <c r="O154" s="233"/>
      <c r="P154" s="233"/>
      <c r="Q154" s="233"/>
      <c r="R154" s="233"/>
      <c r="S154" s="231" t="str">
        <f t="shared" si="13"/>
        <v/>
      </c>
      <c r="T154" s="231" t="str">
        <f t="shared" si="35"/>
        <v/>
      </c>
      <c r="U154" s="231" t="str">
        <f t="shared" si="36"/>
        <v/>
      </c>
      <c r="V154" s="238"/>
      <c r="X154" s="239"/>
      <c r="Y154" s="247"/>
      <c r="Z154" s="247"/>
    </row>
    <row r="155" spans="1:26" ht="32.450000000000003" customHeight="1" x14ac:dyDescent="0.25">
      <c r="A155" s="235"/>
      <c r="B155" s="180"/>
      <c r="C155" s="236"/>
      <c r="D155" s="237"/>
      <c r="E155" s="178">
        <v>4</v>
      </c>
      <c r="F155" s="181"/>
      <c r="G155" s="179"/>
      <c r="H155" s="179"/>
      <c r="I155" s="178" t="str">
        <f t="shared" si="34"/>
        <v xml:space="preserve">  </v>
      </c>
      <c r="J155" s="179"/>
      <c r="K155" s="231" t="str">
        <f>+IFERROR(VLOOKUP($J155,'11 FORMULAS'!$B$51:$C$53,2,0),"")</f>
        <v/>
      </c>
      <c r="L155" s="231" t="e">
        <f>+IF(J155="Preventivo","Probabilidad",IF(J155="Detectivo","Probabilidad",IF(#REF!="Correctivo","Impacto","")))</f>
        <v>#REF!</v>
      </c>
      <c r="M155" s="232"/>
      <c r="N155" s="231" t="str">
        <f>+IFERROR(VLOOKUP($M155,'11 FORMULAS'!$B$54:$C$55,2,0),"")</f>
        <v/>
      </c>
      <c r="O155" s="233"/>
      <c r="P155" s="233"/>
      <c r="Q155" s="233"/>
      <c r="R155" s="233"/>
      <c r="S155" s="231" t="str">
        <f t="shared" si="13"/>
        <v/>
      </c>
      <c r="T155" s="231" t="str">
        <f t="shared" si="35"/>
        <v/>
      </c>
      <c r="U155" s="231" t="str">
        <f t="shared" si="36"/>
        <v/>
      </c>
      <c r="V155" s="238"/>
      <c r="X155" s="239"/>
      <c r="Y155" s="247"/>
      <c r="Z155" s="247"/>
    </row>
    <row r="156" spans="1:26" ht="32.450000000000003" customHeight="1" x14ac:dyDescent="0.25">
      <c r="A156" s="235"/>
      <c r="B156" s="180"/>
      <c r="C156" s="236"/>
      <c r="D156" s="237"/>
      <c r="E156" s="178">
        <v>5</v>
      </c>
      <c r="F156" s="181"/>
      <c r="G156" s="179"/>
      <c r="H156" s="179"/>
      <c r="I156" s="178" t="str">
        <f t="shared" si="34"/>
        <v xml:space="preserve">  </v>
      </c>
      <c r="J156" s="179"/>
      <c r="K156" s="231" t="str">
        <f>+IFERROR(VLOOKUP($J156,'11 FORMULAS'!$B$51:$C$53,2,0),"")</f>
        <v/>
      </c>
      <c r="L156" s="231" t="e">
        <f>+IF(J156="Preventivo","Probabilidad",IF(J156="Detectivo","Probabilidad",IF(#REF!="Correctivo","Impacto","")))</f>
        <v>#REF!</v>
      </c>
      <c r="M156" s="232"/>
      <c r="N156" s="231" t="str">
        <f>+IFERROR(VLOOKUP($M156,'11 FORMULAS'!$B$54:$C$55,2,0),"")</f>
        <v/>
      </c>
      <c r="O156" s="233"/>
      <c r="P156" s="233"/>
      <c r="Q156" s="233"/>
      <c r="R156" s="233"/>
      <c r="S156" s="231" t="str">
        <f t="shared" si="13"/>
        <v/>
      </c>
      <c r="T156" s="231" t="str">
        <f t="shared" si="35"/>
        <v/>
      </c>
      <c r="U156" s="231" t="str">
        <f t="shared" si="36"/>
        <v/>
      </c>
      <c r="V156" s="238"/>
      <c r="X156" s="239"/>
      <c r="Y156" s="247"/>
      <c r="Z156" s="247"/>
    </row>
    <row r="157" spans="1:26" ht="32.450000000000003" customHeight="1" thickBot="1" x14ac:dyDescent="0.3">
      <c r="A157" s="240"/>
      <c r="B157" s="182"/>
      <c r="C157" s="241"/>
      <c r="D157" s="242"/>
      <c r="E157" s="243">
        <v>6</v>
      </c>
      <c r="F157" s="183"/>
      <c r="G157" s="184"/>
      <c r="H157" s="184"/>
      <c r="I157" s="178" t="str">
        <f t="shared" si="34"/>
        <v xml:space="preserve">  </v>
      </c>
      <c r="J157" s="179"/>
      <c r="K157" s="231" t="str">
        <f>+IFERROR(VLOOKUP($J157,'11 FORMULAS'!$B$51:$C$53,2,0),"")</f>
        <v/>
      </c>
      <c r="L157" s="231" t="e">
        <f>+IF(J157="Preventivo","Probabilidad",IF(J157="Detectivo","Probabilidad",IF(#REF!="Correctivo","Impacto","")))</f>
        <v>#REF!</v>
      </c>
      <c r="M157" s="232"/>
      <c r="N157" s="231" t="str">
        <f>+IFERROR(VLOOKUP($M157,'11 FORMULAS'!$B$54:$C$55,2,0),"")</f>
        <v/>
      </c>
      <c r="O157" s="233"/>
      <c r="P157" s="233"/>
      <c r="Q157" s="233"/>
      <c r="R157" s="233"/>
      <c r="S157" s="231" t="str">
        <f t="shared" si="13"/>
        <v/>
      </c>
      <c r="T157" s="231" t="str">
        <f t="shared" si="35"/>
        <v/>
      </c>
      <c r="U157" s="231" t="str">
        <f t="shared" si="36"/>
        <v/>
      </c>
      <c r="V157" s="244"/>
    </row>
    <row r="158" spans="1:26" ht="32.450000000000003" customHeight="1" x14ac:dyDescent="0.25">
      <c r="A158" s="228" t="str">
        <f>'2 CONTEXTO E IDENTIFICACIÓN'!A34</f>
        <v>R26</v>
      </c>
      <c r="B158" s="175" t="str">
        <f>+'2 CONTEXTO E IDENTIFICACIÓN'!J34</f>
        <v>Posibilidad de afectación económica y reputacional por una sanción de las autoridades competentes a causa de  la destinación indebida de los recursos asignados a una iniciativa de contrapartidas, durante su fase de ejecución</v>
      </c>
      <c r="C158" s="229">
        <f>+'3 PROBABIL E IMPACTO INHERENTE'!E34</f>
        <v>0.4</v>
      </c>
      <c r="D158" s="230">
        <f>+'3 PROBABIL E IMPACTO INHERENTE'!M34</f>
        <v>0.4</v>
      </c>
      <c r="E158" s="246">
        <v>1</v>
      </c>
      <c r="F158" s="176" t="s">
        <v>492</v>
      </c>
      <c r="G158" s="177" t="s">
        <v>493</v>
      </c>
      <c r="H158" s="177" t="s">
        <v>491</v>
      </c>
      <c r="I158" s="178" t="str">
        <f t="shared" si="34"/>
        <v xml:space="preserve"> El(la) profesional delegado(a) en la supervisión de los proyectos cofinanciados con recursos de contrapartida.   Verificar el cumplimiento adecuado de la ejecución del plan de inversión y generar las alertas en caso de evidenciar algún incumplimiento para prevenir la indebida destinación del recurso público.  El(la) supervisor(a) designado(a) para el convenio informa al ordenar del gasto ante la presencia de un posible incumplimiento contractual y anexa los documentos soportes de las alertas y solicitudes de corrección al ejecutor</v>
      </c>
      <c r="J158" s="179" t="s">
        <v>199</v>
      </c>
      <c r="K158" s="231">
        <f>+IFERROR(VLOOKUP($J158,'11 FORMULAS'!$B$51:$C$53,2,0),"")</f>
        <v>0.25</v>
      </c>
      <c r="L158" s="231" t="str">
        <f>+IF(J158="Preventivo","Probabilidad",IF(J158="Detectivo","Probabilidad",IF(#REF!="Correctivo","Impacto","")))</f>
        <v>Probabilidad</v>
      </c>
      <c r="M158" s="232" t="s">
        <v>211</v>
      </c>
      <c r="N158" s="231">
        <f>+IFERROR(VLOOKUP($M158,'11 FORMULAS'!$B$54:$C$55,2,0),"")</f>
        <v>0.15</v>
      </c>
      <c r="O158" s="233" t="s">
        <v>201</v>
      </c>
      <c r="P158" s="233" t="s">
        <v>286</v>
      </c>
      <c r="Q158" s="233" t="s">
        <v>203</v>
      </c>
      <c r="R158" s="233" t="s">
        <v>204</v>
      </c>
      <c r="S158" s="231">
        <f t="shared" si="13"/>
        <v>0.4</v>
      </c>
      <c r="T158" s="231">
        <f>+IFERROR(C158*S158,"")</f>
        <v>0.16000000000000003</v>
      </c>
      <c r="U158" s="231">
        <f>+IFERROR(C158-T158,"")</f>
        <v>0.24</v>
      </c>
      <c r="V158" s="234" cm="1">
        <f t="array" ref="V158">LOOKUP(2,1/(U158:U163&lt;&gt;"")*U158:U163)</f>
        <v>0.24</v>
      </c>
      <c r="X158" s="239"/>
      <c r="Y158" s="247"/>
      <c r="Z158" s="247"/>
    </row>
    <row r="159" spans="1:26" ht="32.450000000000003" customHeight="1" x14ac:dyDescent="0.25">
      <c r="A159" s="252"/>
      <c r="B159" s="188"/>
      <c r="C159" s="253"/>
      <c r="D159" s="254"/>
      <c r="E159" s="178">
        <v>2</v>
      </c>
      <c r="F159" s="189"/>
      <c r="G159" s="190"/>
      <c r="H159" s="190"/>
      <c r="I159" s="178" t="str">
        <f t="shared" si="34"/>
        <v xml:space="preserve">  </v>
      </c>
      <c r="J159" s="179"/>
      <c r="K159" s="231" t="str">
        <f>+IFERROR(VLOOKUP($J159,'11 FORMULAS'!$B$51:$C$53,2,0),"")</f>
        <v/>
      </c>
      <c r="L159" s="231" t="e">
        <f>+IF(J159="Preventivo","Probabilidad",IF(J159="Detectivo","Probabilidad",IF(#REF!="Correctivo","Impacto","")))</f>
        <v>#REF!</v>
      </c>
      <c r="M159" s="232"/>
      <c r="N159" s="231" t="str">
        <f>+IFERROR(VLOOKUP($M159,'11 FORMULAS'!$B$54:$C$55,2,0),"")</f>
        <v/>
      </c>
      <c r="O159" s="233"/>
      <c r="P159" s="233"/>
      <c r="Q159" s="233"/>
      <c r="R159" s="233"/>
      <c r="S159" s="231" t="str">
        <f t="shared" si="13"/>
        <v/>
      </c>
      <c r="T159" s="231" t="str">
        <f t="shared" ref="T159:T163" si="37">+IFERROR(C159*S159,"")</f>
        <v/>
      </c>
      <c r="U159" s="231" t="str">
        <f t="shared" ref="U159:U163" si="38">+IFERROR(S159-T159,"")</f>
        <v/>
      </c>
      <c r="V159" s="238"/>
      <c r="X159" s="239"/>
      <c r="Y159" s="247"/>
      <c r="Z159" s="247"/>
    </row>
    <row r="160" spans="1:26" ht="32.450000000000003" customHeight="1" x14ac:dyDescent="0.25">
      <c r="A160" s="252"/>
      <c r="B160" s="188"/>
      <c r="C160" s="253"/>
      <c r="D160" s="254"/>
      <c r="E160" s="178">
        <v>3</v>
      </c>
      <c r="F160" s="189"/>
      <c r="G160" s="190"/>
      <c r="H160" s="190"/>
      <c r="I160" s="178" t="str">
        <f t="shared" si="34"/>
        <v xml:space="preserve">  </v>
      </c>
      <c r="J160" s="179"/>
      <c r="K160" s="231" t="str">
        <f>+IFERROR(VLOOKUP($J160,'11 FORMULAS'!$B$51:$C$53,2,0),"")</f>
        <v/>
      </c>
      <c r="L160" s="231" t="e">
        <f>+IF(J160="Preventivo","Probabilidad",IF(J160="Detectivo","Probabilidad",IF(#REF!="Correctivo","Impacto","")))</f>
        <v>#REF!</v>
      </c>
      <c r="M160" s="232"/>
      <c r="N160" s="231" t="str">
        <f>+IFERROR(VLOOKUP($M160,'11 FORMULAS'!$B$54:$C$55,2,0),"")</f>
        <v/>
      </c>
      <c r="O160" s="233"/>
      <c r="P160" s="233"/>
      <c r="Q160" s="233"/>
      <c r="R160" s="233"/>
      <c r="S160" s="231" t="str">
        <f t="shared" si="13"/>
        <v/>
      </c>
      <c r="T160" s="231" t="str">
        <f t="shared" si="37"/>
        <v/>
      </c>
      <c r="U160" s="231" t="str">
        <f t="shared" si="38"/>
        <v/>
      </c>
      <c r="V160" s="238"/>
      <c r="X160" s="239"/>
      <c r="Y160" s="247"/>
      <c r="Z160" s="247"/>
    </row>
    <row r="161" spans="1:26" ht="32.450000000000003" customHeight="1" x14ac:dyDescent="0.25">
      <c r="A161" s="235"/>
      <c r="B161" s="180"/>
      <c r="C161" s="236"/>
      <c r="D161" s="237"/>
      <c r="E161" s="178">
        <v>4</v>
      </c>
      <c r="F161" s="181"/>
      <c r="G161" s="179"/>
      <c r="H161" s="179"/>
      <c r="I161" s="178" t="str">
        <f t="shared" si="34"/>
        <v xml:space="preserve">  </v>
      </c>
      <c r="J161" s="179"/>
      <c r="K161" s="231" t="str">
        <f>+IFERROR(VLOOKUP($J161,'11 FORMULAS'!$B$51:$C$53,2,0),"")</f>
        <v/>
      </c>
      <c r="L161" s="231" t="e">
        <f>+IF(J161="Preventivo","Probabilidad",IF(J161="Detectivo","Probabilidad",IF(#REF!="Correctivo","Impacto","")))</f>
        <v>#REF!</v>
      </c>
      <c r="M161" s="232"/>
      <c r="N161" s="231" t="str">
        <f>+IFERROR(VLOOKUP($M161,'11 FORMULAS'!$B$54:$C$55,2,0),"")</f>
        <v/>
      </c>
      <c r="O161" s="233"/>
      <c r="P161" s="233"/>
      <c r="Q161" s="233"/>
      <c r="R161" s="233"/>
      <c r="S161" s="231" t="str">
        <f t="shared" si="13"/>
        <v/>
      </c>
      <c r="T161" s="231" t="str">
        <f t="shared" si="37"/>
        <v/>
      </c>
      <c r="U161" s="231" t="str">
        <f t="shared" si="38"/>
        <v/>
      </c>
      <c r="V161" s="238"/>
      <c r="X161" s="239"/>
      <c r="Y161" s="247"/>
      <c r="Z161" s="247"/>
    </row>
    <row r="162" spans="1:26" ht="32.450000000000003" customHeight="1" x14ac:dyDescent="0.25">
      <c r="A162" s="235"/>
      <c r="B162" s="180"/>
      <c r="C162" s="236"/>
      <c r="D162" s="237"/>
      <c r="E162" s="178">
        <v>5</v>
      </c>
      <c r="F162" s="181"/>
      <c r="G162" s="179"/>
      <c r="H162" s="179"/>
      <c r="I162" s="178" t="str">
        <f t="shared" si="34"/>
        <v xml:space="preserve">  </v>
      </c>
      <c r="J162" s="179"/>
      <c r="K162" s="231" t="str">
        <f>+IFERROR(VLOOKUP($J162,'11 FORMULAS'!$B$51:$C$53,2,0),"")</f>
        <v/>
      </c>
      <c r="L162" s="231" t="e">
        <f>+IF(J162="Preventivo","Probabilidad",IF(J162="Detectivo","Probabilidad",IF(#REF!="Correctivo","Impacto","")))</f>
        <v>#REF!</v>
      </c>
      <c r="M162" s="232"/>
      <c r="N162" s="231" t="str">
        <f>+IFERROR(VLOOKUP($M162,'11 FORMULAS'!$B$54:$C$55,2,0),"")</f>
        <v/>
      </c>
      <c r="O162" s="233"/>
      <c r="P162" s="233"/>
      <c r="Q162" s="233"/>
      <c r="R162" s="233"/>
      <c r="S162" s="231" t="str">
        <f t="shared" si="13"/>
        <v/>
      </c>
      <c r="T162" s="231" t="str">
        <f t="shared" si="37"/>
        <v/>
      </c>
      <c r="U162" s="231" t="str">
        <f t="shared" si="38"/>
        <v/>
      </c>
      <c r="V162" s="238"/>
      <c r="X162" s="239"/>
      <c r="Y162" s="247"/>
      <c r="Z162" s="247"/>
    </row>
    <row r="163" spans="1:26" ht="32.450000000000003" customHeight="1" thickBot="1" x14ac:dyDescent="0.3">
      <c r="A163" s="240"/>
      <c r="B163" s="182"/>
      <c r="C163" s="241"/>
      <c r="D163" s="242"/>
      <c r="E163" s="243">
        <v>6</v>
      </c>
      <c r="F163" s="183"/>
      <c r="G163" s="184"/>
      <c r="H163" s="184"/>
      <c r="I163" s="178" t="str">
        <f t="shared" si="34"/>
        <v xml:space="preserve">  </v>
      </c>
      <c r="J163" s="179"/>
      <c r="K163" s="231" t="str">
        <f>+IFERROR(VLOOKUP($J163,'11 FORMULAS'!$B$51:$C$53,2,0),"")</f>
        <v/>
      </c>
      <c r="L163" s="231" t="e">
        <f>+IF(J163="Preventivo","Probabilidad",IF(J163="Detectivo","Probabilidad",IF(#REF!="Correctivo","Impacto","")))</f>
        <v>#REF!</v>
      </c>
      <c r="M163" s="232"/>
      <c r="N163" s="231" t="str">
        <f>+IFERROR(VLOOKUP($M163,'11 FORMULAS'!$B$54:$C$55,2,0),"")</f>
        <v/>
      </c>
      <c r="O163" s="233"/>
      <c r="P163" s="233"/>
      <c r="Q163" s="233"/>
      <c r="R163" s="233"/>
      <c r="S163" s="231" t="str">
        <f t="shared" si="13"/>
        <v/>
      </c>
      <c r="T163" s="231" t="str">
        <f t="shared" si="37"/>
        <v/>
      </c>
      <c r="U163" s="231" t="str">
        <f t="shared" si="38"/>
        <v/>
      </c>
      <c r="V163" s="244"/>
    </row>
    <row r="164" spans="1:26" ht="32.450000000000003" customHeight="1" x14ac:dyDescent="0.25">
      <c r="A164" s="228" t="str">
        <f>'2 CONTEXTO E IDENTIFICACIÓN'!A35</f>
        <v>R27</v>
      </c>
      <c r="B164" s="175" t="str">
        <f>+'2 CONTEXTO E IDENTIFICACIÓN'!J35</f>
        <v>Posibilidad de afectación económica y reputacional porPérdida, desvió y/o destinación indebida de los recursos asignados a la caja menor a causa de  incumplimiento de los lineamientos establecidos por la Agencia para la administración de la caja menor</v>
      </c>
      <c r="C164" s="229">
        <f>+'3 PROBABIL E IMPACTO INHERENTE'!E35</f>
        <v>0.6</v>
      </c>
      <c r="D164" s="230">
        <f>+'3 PROBABIL E IMPACTO INHERENTE'!M35</f>
        <v>0.6</v>
      </c>
      <c r="E164" s="246">
        <v>1</v>
      </c>
      <c r="F164" s="176" t="s">
        <v>414</v>
      </c>
      <c r="G164" s="177" t="s">
        <v>415</v>
      </c>
      <c r="H164" s="177" t="s">
        <v>416</v>
      </c>
      <c r="I164" s="178" t="str">
        <f t="shared" si="34"/>
        <v>El cuentadante de la caja menor. Aplicar los lineamientos establecidos por la Agencia para la administración de la caja menor. Reportar al respectivo superior jerárquico de la Agencia, el estado de la administración  de la caja menor.</v>
      </c>
      <c r="J164" s="179" t="s">
        <v>199</v>
      </c>
      <c r="K164" s="231">
        <f>+IFERROR(VLOOKUP($J164,'11 FORMULAS'!$B$51:$C$53,2,0),"")</f>
        <v>0.25</v>
      </c>
      <c r="L164" s="231" t="str">
        <f>+IF(J164="Preventivo","Probabilidad",IF(J164="Detectivo","Probabilidad",IF(#REF!="Correctivo","Impacto","")))</f>
        <v>Probabilidad</v>
      </c>
      <c r="M164" s="232" t="s">
        <v>211</v>
      </c>
      <c r="N164" s="231">
        <f>+IFERROR(VLOOKUP($M164,'11 FORMULAS'!$B$54:$C$55,2,0),"")</f>
        <v>0.15</v>
      </c>
      <c r="O164" s="233" t="s">
        <v>201</v>
      </c>
      <c r="P164" s="233" t="s">
        <v>286</v>
      </c>
      <c r="Q164" s="233" t="s">
        <v>203</v>
      </c>
      <c r="R164" s="233" t="s">
        <v>204</v>
      </c>
      <c r="S164" s="231">
        <f t="shared" si="13"/>
        <v>0.4</v>
      </c>
      <c r="T164" s="231">
        <f>+IFERROR(C164*S164,"")</f>
        <v>0.24</v>
      </c>
      <c r="U164" s="231">
        <f>+IFERROR(C164-T164,"")</f>
        <v>0.36</v>
      </c>
      <c r="V164" s="234" cm="1">
        <f t="array" ref="V164">LOOKUP(2,1/(U164:U169&lt;&gt;"")*U164:U169)</f>
        <v>0.36</v>
      </c>
      <c r="X164" s="239"/>
      <c r="Y164" s="247"/>
      <c r="Z164" s="247"/>
    </row>
    <row r="165" spans="1:26" ht="32.450000000000003" customHeight="1" x14ac:dyDescent="0.25">
      <c r="A165" s="252"/>
      <c r="B165" s="188"/>
      <c r="C165" s="253"/>
      <c r="D165" s="254"/>
      <c r="E165" s="178">
        <v>2</v>
      </c>
      <c r="F165" s="189"/>
      <c r="G165" s="190"/>
      <c r="H165" s="190"/>
      <c r="I165" s="178" t="str">
        <f t="shared" si="34"/>
        <v xml:space="preserve">  </v>
      </c>
      <c r="J165" s="179"/>
      <c r="K165" s="231" t="str">
        <f>+IFERROR(VLOOKUP($J165,'11 FORMULAS'!$B$51:$C$53,2,0),"")</f>
        <v/>
      </c>
      <c r="L165" s="231" t="e">
        <f>+IF(J165="Preventivo","Probabilidad",IF(J165="Detectivo","Probabilidad",IF(#REF!="Correctivo","Impacto","")))</f>
        <v>#REF!</v>
      </c>
      <c r="M165" s="232"/>
      <c r="N165" s="231" t="str">
        <f>+IFERROR(VLOOKUP($M165,'11 FORMULAS'!$B$54:$C$55,2,0),"")</f>
        <v/>
      </c>
      <c r="O165" s="233"/>
      <c r="P165" s="233"/>
      <c r="Q165" s="233"/>
      <c r="R165" s="233"/>
      <c r="S165" s="231" t="str">
        <f t="shared" si="13"/>
        <v/>
      </c>
      <c r="T165" s="231" t="str">
        <f t="shared" ref="T165:T169" si="39">+IFERROR(C165*S165,"")</f>
        <v/>
      </c>
      <c r="U165" s="231" t="str">
        <f t="shared" ref="U165:U169" si="40">+IFERROR(S165-T165,"")</f>
        <v/>
      </c>
      <c r="V165" s="238"/>
      <c r="X165" s="239"/>
      <c r="Y165" s="247"/>
      <c r="Z165" s="247"/>
    </row>
    <row r="166" spans="1:26" ht="32.450000000000003" customHeight="1" x14ac:dyDescent="0.25">
      <c r="A166" s="252"/>
      <c r="B166" s="188"/>
      <c r="C166" s="253"/>
      <c r="D166" s="254"/>
      <c r="E166" s="178">
        <v>3</v>
      </c>
      <c r="F166" s="189"/>
      <c r="G166" s="190"/>
      <c r="H166" s="190"/>
      <c r="I166" s="178" t="str">
        <f t="shared" si="34"/>
        <v xml:space="preserve">  </v>
      </c>
      <c r="J166" s="179"/>
      <c r="K166" s="231" t="str">
        <f>+IFERROR(VLOOKUP($J166,'11 FORMULAS'!$B$51:$C$53,2,0),"")</f>
        <v/>
      </c>
      <c r="L166" s="231" t="e">
        <f>+IF(J166="Preventivo","Probabilidad",IF(J166="Detectivo","Probabilidad",IF(#REF!="Correctivo","Impacto","")))</f>
        <v>#REF!</v>
      </c>
      <c r="M166" s="232"/>
      <c r="N166" s="231" t="str">
        <f>+IFERROR(VLOOKUP($M166,'11 FORMULAS'!$B$54:$C$55,2,0),"")</f>
        <v/>
      </c>
      <c r="O166" s="233"/>
      <c r="P166" s="233"/>
      <c r="Q166" s="233"/>
      <c r="R166" s="233"/>
      <c r="S166" s="231" t="str">
        <f t="shared" si="13"/>
        <v/>
      </c>
      <c r="T166" s="231" t="str">
        <f t="shared" si="39"/>
        <v/>
      </c>
      <c r="U166" s="231" t="str">
        <f t="shared" si="40"/>
        <v/>
      </c>
      <c r="V166" s="238"/>
      <c r="X166" s="239"/>
      <c r="Y166" s="247"/>
      <c r="Z166" s="247"/>
    </row>
    <row r="167" spans="1:26" ht="32.450000000000003" customHeight="1" x14ac:dyDescent="0.25">
      <c r="A167" s="235"/>
      <c r="B167" s="180"/>
      <c r="C167" s="236"/>
      <c r="D167" s="237"/>
      <c r="E167" s="178">
        <v>4</v>
      </c>
      <c r="F167" s="181"/>
      <c r="G167" s="179"/>
      <c r="H167" s="179"/>
      <c r="I167" s="178" t="str">
        <f t="shared" si="34"/>
        <v xml:space="preserve">  </v>
      </c>
      <c r="J167" s="179"/>
      <c r="K167" s="231" t="str">
        <f>+IFERROR(VLOOKUP($J167,'11 FORMULAS'!$B$51:$C$53,2,0),"")</f>
        <v/>
      </c>
      <c r="L167" s="231" t="e">
        <f>+IF(J167="Preventivo","Probabilidad",IF(J167="Detectivo","Probabilidad",IF(#REF!="Correctivo","Impacto","")))</f>
        <v>#REF!</v>
      </c>
      <c r="M167" s="232"/>
      <c r="N167" s="231" t="str">
        <f>+IFERROR(VLOOKUP($M167,'11 FORMULAS'!$B$54:$C$55,2,0),"")</f>
        <v/>
      </c>
      <c r="O167" s="233"/>
      <c r="P167" s="233"/>
      <c r="Q167" s="233"/>
      <c r="R167" s="233"/>
      <c r="S167" s="231" t="str">
        <f t="shared" si="13"/>
        <v/>
      </c>
      <c r="T167" s="231" t="str">
        <f t="shared" si="39"/>
        <v/>
      </c>
      <c r="U167" s="231" t="str">
        <f t="shared" si="40"/>
        <v/>
      </c>
      <c r="V167" s="238"/>
      <c r="X167" s="239"/>
      <c r="Y167" s="247"/>
      <c r="Z167" s="247"/>
    </row>
    <row r="168" spans="1:26" ht="32.450000000000003" customHeight="1" x14ac:dyDescent="0.25">
      <c r="A168" s="235"/>
      <c r="B168" s="180"/>
      <c r="C168" s="236"/>
      <c r="D168" s="237"/>
      <c r="E168" s="178">
        <v>5</v>
      </c>
      <c r="F168" s="181"/>
      <c r="G168" s="179"/>
      <c r="H168" s="179"/>
      <c r="I168" s="178" t="str">
        <f t="shared" si="34"/>
        <v xml:space="preserve">  </v>
      </c>
      <c r="J168" s="179"/>
      <c r="K168" s="231" t="str">
        <f>+IFERROR(VLOOKUP($J168,'11 FORMULAS'!$B$51:$C$53,2,0),"")</f>
        <v/>
      </c>
      <c r="L168" s="231" t="e">
        <f>+IF(J168="Preventivo","Probabilidad",IF(J168="Detectivo","Probabilidad",IF(#REF!="Correctivo","Impacto","")))</f>
        <v>#REF!</v>
      </c>
      <c r="M168" s="232"/>
      <c r="N168" s="231" t="str">
        <f>+IFERROR(VLOOKUP($M168,'11 FORMULAS'!$B$54:$C$55,2,0),"")</f>
        <v/>
      </c>
      <c r="O168" s="233"/>
      <c r="P168" s="233"/>
      <c r="Q168" s="233"/>
      <c r="R168" s="233"/>
      <c r="S168" s="231" t="str">
        <f t="shared" si="13"/>
        <v/>
      </c>
      <c r="T168" s="231" t="str">
        <f t="shared" si="39"/>
        <v/>
      </c>
      <c r="U168" s="231" t="str">
        <f t="shared" si="40"/>
        <v/>
      </c>
      <c r="V168" s="238"/>
      <c r="X168" s="239"/>
      <c r="Y168" s="247"/>
      <c r="Z168" s="247"/>
    </row>
    <row r="169" spans="1:26" ht="32.450000000000003" customHeight="1" thickBot="1" x14ac:dyDescent="0.3">
      <c r="A169" s="240"/>
      <c r="B169" s="182"/>
      <c r="C169" s="241"/>
      <c r="D169" s="242"/>
      <c r="E169" s="243">
        <v>6</v>
      </c>
      <c r="F169" s="183"/>
      <c r="G169" s="184"/>
      <c r="H169" s="184"/>
      <c r="I169" s="178" t="str">
        <f t="shared" si="34"/>
        <v xml:space="preserve">  </v>
      </c>
      <c r="J169" s="179"/>
      <c r="K169" s="231" t="str">
        <f>+IFERROR(VLOOKUP($J169,'11 FORMULAS'!$B$51:$C$53,2,0),"")</f>
        <v/>
      </c>
      <c r="L169" s="231" t="e">
        <f>+IF(J169="Preventivo","Probabilidad",IF(J169="Detectivo","Probabilidad",IF(#REF!="Correctivo","Impacto","")))</f>
        <v>#REF!</v>
      </c>
      <c r="M169" s="232"/>
      <c r="N169" s="231" t="str">
        <f>+IFERROR(VLOOKUP($M169,'11 FORMULAS'!$B$54:$C$55,2,0),"")</f>
        <v/>
      </c>
      <c r="O169" s="233"/>
      <c r="P169" s="233"/>
      <c r="Q169" s="233"/>
      <c r="R169" s="233"/>
      <c r="S169" s="231" t="str">
        <f t="shared" si="13"/>
        <v/>
      </c>
      <c r="T169" s="231" t="str">
        <f t="shared" si="39"/>
        <v/>
      </c>
      <c r="U169" s="231" t="str">
        <f t="shared" si="40"/>
        <v/>
      </c>
      <c r="V169" s="244"/>
    </row>
    <row r="170" spans="1:26" ht="32.450000000000003" customHeight="1" x14ac:dyDescent="0.25">
      <c r="A170" s="228" t="str">
        <f>'2 CONTEXTO E IDENTIFICACIÓN'!A36</f>
        <v>R28</v>
      </c>
      <c r="B170" s="175" t="str">
        <f>+'2 CONTEXTO E IDENTIFICACIÓN'!J36</f>
        <v>Posibilidad de afectación económica y reputacional por revocatoria de nombramiento y sanciones disciplinarias  a causa de incumplimiento en la verificación y  certificación de requisitos exigidos para el desempeño del empleo público</v>
      </c>
      <c r="C170" s="229">
        <f>+'3 PROBABIL E IMPACTO INHERENTE'!E36</f>
        <v>0.6</v>
      </c>
      <c r="D170" s="230">
        <f>+'3 PROBABIL E IMPACTO INHERENTE'!M36</f>
        <v>0.6</v>
      </c>
      <c r="E170" s="246">
        <v>1</v>
      </c>
      <c r="F170" s="176" t="s">
        <v>489</v>
      </c>
      <c r="G170" s="177" t="s">
        <v>490</v>
      </c>
      <c r="H170" s="177" t="s">
        <v>488</v>
      </c>
      <c r="I170" s="178" t="str">
        <f t="shared" si="34"/>
        <v>El(la) coordinador(a) del grupo interno de trabajo de gestión de talento humano.  Expedir certificación de cumplimiento de requisitos y verificar los antecedentes disciplinarios, policiales y fiscales, antes del nombramiento del aspirante en el cargo público. En caso que el aspirante no cumpla con los requisitos o lo inhabiliten, se informa al Director(a) administrativo(a) y financiero(a) para continuar con el proceso de provisión del cargo con otros aspirantes.</v>
      </c>
      <c r="J170" s="179" t="s">
        <v>199</v>
      </c>
      <c r="K170" s="231">
        <f>+IFERROR(VLOOKUP($J170,'11 FORMULAS'!$B$51:$C$53,2,0),"")</f>
        <v>0.25</v>
      </c>
      <c r="L170" s="231" t="str">
        <f>+IF(J170="Preventivo","Probabilidad",IF(J170="Detectivo","Probabilidad",IF(#REF!="Correctivo","Impacto","")))</f>
        <v>Probabilidad</v>
      </c>
      <c r="M170" s="232" t="s">
        <v>211</v>
      </c>
      <c r="N170" s="231">
        <f>+IFERROR(VLOOKUP($M170,'11 FORMULAS'!$B$54:$C$55,2,0),"")</f>
        <v>0.15</v>
      </c>
      <c r="O170" s="233" t="s">
        <v>201</v>
      </c>
      <c r="P170" s="233" t="s">
        <v>291</v>
      </c>
      <c r="Q170" s="233" t="s">
        <v>203</v>
      </c>
      <c r="R170" s="233" t="s">
        <v>204</v>
      </c>
      <c r="S170" s="231">
        <f t="shared" si="13"/>
        <v>0.4</v>
      </c>
      <c r="T170" s="231">
        <f>+IFERROR(C170*S170,"")</f>
        <v>0.24</v>
      </c>
      <c r="U170" s="231">
        <f>+IFERROR(C170-T170,"")</f>
        <v>0.36</v>
      </c>
      <c r="V170" s="234" cm="1">
        <f t="array" ref="V170">LOOKUP(2,1/(U170:U175&lt;&gt;"")*U170:U175)</f>
        <v>0.36</v>
      </c>
      <c r="X170" s="239"/>
      <c r="Y170" s="247"/>
      <c r="Z170" s="247"/>
    </row>
    <row r="171" spans="1:26" ht="32.450000000000003" customHeight="1" x14ac:dyDescent="0.25">
      <c r="A171" s="252"/>
      <c r="B171" s="188"/>
      <c r="C171" s="253"/>
      <c r="D171" s="254"/>
      <c r="E171" s="178">
        <v>2</v>
      </c>
      <c r="F171" s="189"/>
      <c r="G171" s="190"/>
      <c r="H171" s="190"/>
      <c r="I171" s="178" t="str">
        <f t="shared" si="34"/>
        <v xml:space="preserve">  </v>
      </c>
      <c r="J171" s="179"/>
      <c r="K171" s="231" t="str">
        <f>+IFERROR(VLOOKUP($J171,'11 FORMULAS'!$B$51:$C$53,2,0),"")</f>
        <v/>
      </c>
      <c r="L171" s="231" t="e">
        <f>+IF(J171="Preventivo","Probabilidad",IF(J171="Detectivo","Probabilidad",IF(#REF!="Correctivo","Impacto","")))</f>
        <v>#REF!</v>
      </c>
      <c r="M171" s="232"/>
      <c r="N171" s="231" t="str">
        <f>+IFERROR(VLOOKUP($M171,'11 FORMULAS'!$B$54:$C$55,2,0),"")</f>
        <v/>
      </c>
      <c r="O171" s="233"/>
      <c r="P171" s="233"/>
      <c r="Q171" s="233"/>
      <c r="R171" s="233"/>
      <c r="S171" s="231" t="str">
        <f t="shared" si="13"/>
        <v/>
      </c>
      <c r="T171" s="231" t="str">
        <f t="shared" ref="T171:T175" si="41">+IFERROR(C171*S171,"")</f>
        <v/>
      </c>
      <c r="U171" s="231" t="str">
        <f t="shared" ref="U171:U175" si="42">+IFERROR(S171-T171,"")</f>
        <v/>
      </c>
      <c r="V171" s="238"/>
      <c r="X171" s="239"/>
      <c r="Y171" s="247"/>
      <c r="Z171" s="247"/>
    </row>
    <row r="172" spans="1:26" ht="32.450000000000003" customHeight="1" x14ac:dyDescent="0.25">
      <c r="A172" s="252"/>
      <c r="B172" s="188"/>
      <c r="C172" s="253"/>
      <c r="D172" s="254"/>
      <c r="E172" s="178">
        <v>3</v>
      </c>
      <c r="F172" s="189"/>
      <c r="G172" s="190"/>
      <c r="H172" s="190"/>
      <c r="I172" s="178" t="str">
        <f t="shared" si="34"/>
        <v xml:space="preserve">  </v>
      </c>
      <c r="J172" s="179"/>
      <c r="K172" s="231" t="str">
        <f>+IFERROR(VLOOKUP($J172,'11 FORMULAS'!$B$51:$C$53,2,0),"")</f>
        <v/>
      </c>
      <c r="L172" s="231" t="e">
        <f>+IF(J172="Preventivo","Probabilidad",IF(J172="Detectivo","Probabilidad",IF(#REF!="Correctivo","Impacto","")))</f>
        <v>#REF!</v>
      </c>
      <c r="M172" s="232"/>
      <c r="N172" s="231" t="str">
        <f>+IFERROR(VLOOKUP($M172,'11 FORMULAS'!$B$54:$C$55,2,0),"")</f>
        <v/>
      </c>
      <c r="O172" s="233"/>
      <c r="P172" s="233"/>
      <c r="Q172" s="233"/>
      <c r="R172" s="233"/>
      <c r="S172" s="231" t="str">
        <f t="shared" ref="S172:S193" si="43">+IFERROR($K172+$N172,"")</f>
        <v/>
      </c>
      <c r="T172" s="231" t="str">
        <f t="shared" si="41"/>
        <v/>
      </c>
      <c r="U172" s="231" t="str">
        <f t="shared" si="42"/>
        <v/>
      </c>
      <c r="V172" s="238"/>
      <c r="X172" s="239"/>
      <c r="Y172" s="247"/>
      <c r="Z172" s="247"/>
    </row>
    <row r="173" spans="1:26" ht="32.450000000000003" customHeight="1" x14ac:dyDescent="0.25">
      <c r="A173" s="235"/>
      <c r="B173" s="180"/>
      <c r="C173" s="236"/>
      <c r="D173" s="237"/>
      <c r="E173" s="178">
        <v>4</v>
      </c>
      <c r="F173" s="181"/>
      <c r="G173" s="179"/>
      <c r="H173" s="179"/>
      <c r="I173" s="178" t="str">
        <f t="shared" si="34"/>
        <v xml:space="preserve">  </v>
      </c>
      <c r="J173" s="179"/>
      <c r="K173" s="231" t="str">
        <f>+IFERROR(VLOOKUP($J173,'11 FORMULAS'!$B$51:$C$53,2,0),"")</f>
        <v/>
      </c>
      <c r="L173" s="231" t="e">
        <f>+IF(J173="Preventivo","Probabilidad",IF(J173="Detectivo","Probabilidad",IF(#REF!="Correctivo","Impacto","")))</f>
        <v>#REF!</v>
      </c>
      <c r="M173" s="232"/>
      <c r="N173" s="231" t="str">
        <f>+IFERROR(VLOOKUP($M173,'11 FORMULAS'!$B$54:$C$55,2,0),"")</f>
        <v/>
      </c>
      <c r="O173" s="233"/>
      <c r="P173" s="233"/>
      <c r="Q173" s="233"/>
      <c r="R173" s="233"/>
      <c r="S173" s="231" t="str">
        <f t="shared" si="43"/>
        <v/>
      </c>
      <c r="T173" s="231" t="str">
        <f t="shared" si="41"/>
        <v/>
      </c>
      <c r="U173" s="231" t="str">
        <f t="shared" si="42"/>
        <v/>
      </c>
      <c r="V173" s="238"/>
      <c r="X173" s="239"/>
      <c r="Y173" s="247"/>
      <c r="Z173" s="247"/>
    </row>
    <row r="174" spans="1:26" ht="32.450000000000003" customHeight="1" x14ac:dyDescent="0.25">
      <c r="A174" s="235"/>
      <c r="B174" s="180"/>
      <c r="C174" s="236"/>
      <c r="D174" s="237"/>
      <c r="E174" s="178">
        <v>5</v>
      </c>
      <c r="F174" s="181"/>
      <c r="G174" s="179"/>
      <c r="H174" s="179"/>
      <c r="I174" s="178" t="str">
        <f t="shared" si="34"/>
        <v xml:space="preserve">  </v>
      </c>
      <c r="J174" s="179"/>
      <c r="K174" s="231" t="str">
        <f>+IFERROR(VLOOKUP($J174,'11 FORMULAS'!$B$51:$C$53,2,0),"")</f>
        <v/>
      </c>
      <c r="L174" s="231" t="e">
        <f>+IF(J174="Preventivo","Probabilidad",IF(J174="Detectivo","Probabilidad",IF(#REF!="Correctivo","Impacto","")))</f>
        <v>#REF!</v>
      </c>
      <c r="M174" s="232"/>
      <c r="N174" s="231" t="str">
        <f>+IFERROR(VLOOKUP($M174,'11 FORMULAS'!$B$54:$C$55,2,0),"")</f>
        <v/>
      </c>
      <c r="O174" s="233"/>
      <c r="P174" s="233"/>
      <c r="Q174" s="233"/>
      <c r="R174" s="233"/>
      <c r="S174" s="231" t="str">
        <f t="shared" si="43"/>
        <v/>
      </c>
      <c r="T174" s="231" t="str">
        <f t="shared" si="41"/>
        <v/>
      </c>
      <c r="U174" s="231" t="str">
        <f t="shared" si="42"/>
        <v/>
      </c>
      <c r="V174" s="238"/>
      <c r="X174" s="239"/>
      <c r="Y174" s="247"/>
      <c r="Z174" s="247"/>
    </row>
    <row r="175" spans="1:26" ht="32.450000000000003" customHeight="1" thickBot="1" x14ac:dyDescent="0.3">
      <c r="A175" s="240"/>
      <c r="B175" s="182"/>
      <c r="C175" s="241"/>
      <c r="D175" s="242"/>
      <c r="E175" s="243">
        <v>6</v>
      </c>
      <c r="F175" s="183"/>
      <c r="G175" s="184"/>
      <c r="H175" s="184"/>
      <c r="I175" s="178" t="str">
        <f t="shared" si="34"/>
        <v xml:space="preserve">  </v>
      </c>
      <c r="J175" s="179"/>
      <c r="K175" s="231" t="str">
        <f>+IFERROR(VLOOKUP($J175,'11 FORMULAS'!$B$51:$C$53,2,0),"")</f>
        <v/>
      </c>
      <c r="L175" s="231" t="e">
        <f>+IF(J175="Preventivo","Probabilidad",IF(J175="Detectivo","Probabilidad",IF(#REF!="Correctivo","Impacto","")))</f>
        <v>#REF!</v>
      </c>
      <c r="M175" s="232"/>
      <c r="N175" s="231" t="str">
        <f>+IFERROR(VLOOKUP($M175,'11 FORMULAS'!$B$54:$C$55,2,0),"")</f>
        <v/>
      </c>
      <c r="O175" s="233"/>
      <c r="P175" s="233"/>
      <c r="Q175" s="233"/>
      <c r="R175" s="233"/>
      <c r="S175" s="231" t="str">
        <f t="shared" si="43"/>
        <v/>
      </c>
      <c r="T175" s="231" t="str">
        <f t="shared" si="41"/>
        <v/>
      </c>
      <c r="U175" s="231" t="str">
        <f t="shared" si="42"/>
        <v/>
      </c>
      <c r="V175" s="244"/>
    </row>
    <row r="176" spans="1:26" ht="32.450000000000003" customHeight="1" x14ac:dyDescent="0.25">
      <c r="A176" s="228" t="str">
        <f>'2 CONTEXTO E IDENTIFICACIÓN'!A37</f>
        <v>R29</v>
      </c>
      <c r="B176" s="175" t="str">
        <f>+'2 CONTEXTO E IDENTIFICACIÓN'!J37</f>
        <v>Posibilidad de afectación económica y reputacional por la reclamación  del donante a causa de ausencia en el seguimiento frente a la entrega final de la donación realizada por el donante</v>
      </c>
      <c r="C176" s="229">
        <f>+'3 PROBABIL E IMPACTO INHERENTE'!E37</f>
        <v>0.4</v>
      </c>
      <c r="D176" s="230">
        <f>+'3 PROBABIL E IMPACTO INHERENTE'!M37</f>
        <v>0.4</v>
      </c>
      <c r="E176" s="246">
        <v>1</v>
      </c>
      <c r="F176" s="176" t="s">
        <v>486</v>
      </c>
      <c r="G176" s="177" t="s">
        <v>487</v>
      </c>
      <c r="H176" s="177" t="s">
        <v>485</v>
      </c>
      <c r="I176" s="178" t="str">
        <f t="shared" si="34"/>
        <v xml:space="preserve"> El(la) profesional asignado(a) a desarrollar las actividades necesarias para la canalización de donaciones en especie.  Verificar los documentos entregados por el donante (carta de ofrecimiento de la donación, certificado de la donación y carta de exoneración de responsabilidades) antes y durante el proceso, donde se indentifica la entidad  beneficiaria de la donación y realizar la validación de los antecedentes y reconocimiento de bienes lícitos e ilícitos.  Se analizan  las novedades presentadas en el ejercicio de la supervisón para tomar las medidas respectivas, escalando a la instancia correspondiente y evitar la indebida supervisión de los contratos o convenios suscritos</v>
      </c>
      <c r="J176" s="179" t="s">
        <v>199</v>
      </c>
      <c r="K176" s="231">
        <f>+IFERROR(VLOOKUP($J176,'11 FORMULAS'!$B$51:$C$53,2,0),"")</f>
        <v>0.25</v>
      </c>
      <c r="L176" s="231" t="str">
        <f>+IF(J176="Preventivo","Probabilidad",IF(J176="Detectivo","Probabilidad",IF(#REF!="Correctivo","Impacto","")))</f>
        <v>Probabilidad</v>
      </c>
      <c r="M176" s="232" t="s">
        <v>211</v>
      </c>
      <c r="N176" s="231">
        <f>+IFERROR(VLOOKUP($M176,'11 FORMULAS'!$B$54:$C$55,2,0),"")</f>
        <v>0.15</v>
      </c>
      <c r="O176" s="233" t="s">
        <v>201</v>
      </c>
      <c r="P176" s="233" t="s">
        <v>286</v>
      </c>
      <c r="Q176" s="233" t="s">
        <v>203</v>
      </c>
      <c r="R176" s="233" t="s">
        <v>204</v>
      </c>
      <c r="S176" s="231">
        <f t="shared" si="43"/>
        <v>0.4</v>
      </c>
      <c r="T176" s="231">
        <f>+IFERROR(C176*S176,"")</f>
        <v>0.16000000000000003</v>
      </c>
      <c r="U176" s="231">
        <f>+IFERROR(C176-T176,"")</f>
        <v>0.24</v>
      </c>
      <c r="V176" s="234" cm="1">
        <f t="array" ref="V176">LOOKUP(2,1/(U176:U181&lt;&gt;"")*U176:U181)</f>
        <v>0.24</v>
      </c>
      <c r="X176" s="239"/>
      <c r="Y176" s="247"/>
      <c r="Z176" s="247"/>
    </row>
    <row r="177" spans="1:26" ht="32.450000000000003" customHeight="1" x14ac:dyDescent="0.25">
      <c r="A177" s="252"/>
      <c r="B177" s="188"/>
      <c r="C177" s="253"/>
      <c r="D177" s="254"/>
      <c r="E177" s="178">
        <v>2</v>
      </c>
      <c r="F177" s="189"/>
      <c r="G177" s="190"/>
      <c r="H177" s="190"/>
      <c r="I177" s="178" t="str">
        <f t="shared" si="34"/>
        <v xml:space="preserve">  </v>
      </c>
      <c r="J177" s="179"/>
      <c r="K177" s="231" t="str">
        <f>+IFERROR(VLOOKUP($J177,'11 FORMULAS'!$B$51:$C$53,2,0),"")</f>
        <v/>
      </c>
      <c r="L177" s="231" t="e">
        <f>+IF(J177="Preventivo","Probabilidad",IF(J177="Detectivo","Probabilidad",IF(#REF!="Correctivo","Impacto","")))</f>
        <v>#REF!</v>
      </c>
      <c r="M177" s="232"/>
      <c r="N177" s="231" t="str">
        <f>+IFERROR(VLOOKUP($M177,'11 FORMULAS'!$B$54:$C$55,2,0),"")</f>
        <v/>
      </c>
      <c r="O177" s="233"/>
      <c r="P177" s="233"/>
      <c r="Q177" s="233"/>
      <c r="R177" s="233"/>
      <c r="S177" s="231" t="str">
        <f t="shared" si="43"/>
        <v/>
      </c>
      <c r="T177" s="231" t="str">
        <f t="shared" ref="T177:T181" si="44">+IFERROR(C177*S177,"")</f>
        <v/>
      </c>
      <c r="U177" s="231" t="str">
        <f t="shared" ref="U177:U181" si="45">+IFERROR(S177-T177,"")</f>
        <v/>
      </c>
      <c r="V177" s="238"/>
      <c r="X177" s="239"/>
      <c r="Y177" s="247"/>
      <c r="Z177" s="247"/>
    </row>
    <row r="178" spans="1:26" ht="32.450000000000003" customHeight="1" x14ac:dyDescent="0.25">
      <c r="A178" s="252"/>
      <c r="B178" s="188"/>
      <c r="C178" s="253"/>
      <c r="D178" s="254"/>
      <c r="E178" s="178">
        <v>3</v>
      </c>
      <c r="F178" s="189"/>
      <c r="G178" s="190"/>
      <c r="H178" s="190"/>
      <c r="I178" s="178" t="str">
        <f t="shared" si="34"/>
        <v xml:space="preserve">  </v>
      </c>
      <c r="J178" s="179"/>
      <c r="K178" s="231" t="str">
        <f>+IFERROR(VLOOKUP($J178,'11 FORMULAS'!$B$51:$C$53,2,0),"")</f>
        <v/>
      </c>
      <c r="L178" s="231" t="e">
        <f>+IF(J178="Preventivo","Probabilidad",IF(J178="Detectivo","Probabilidad",IF(#REF!="Correctivo","Impacto","")))</f>
        <v>#REF!</v>
      </c>
      <c r="M178" s="232"/>
      <c r="N178" s="231" t="str">
        <f>+IFERROR(VLOOKUP($M178,'11 FORMULAS'!$B$54:$C$55,2,0),"")</f>
        <v/>
      </c>
      <c r="O178" s="233"/>
      <c r="P178" s="233"/>
      <c r="Q178" s="233"/>
      <c r="R178" s="233"/>
      <c r="S178" s="231" t="str">
        <f t="shared" si="43"/>
        <v/>
      </c>
      <c r="T178" s="231" t="str">
        <f t="shared" si="44"/>
        <v/>
      </c>
      <c r="U178" s="231" t="str">
        <f t="shared" si="45"/>
        <v/>
      </c>
      <c r="V178" s="238"/>
      <c r="X178" s="239"/>
      <c r="Y178" s="247"/>
      <c r="Z178" s="247"/>
    </row>
    <row r="179" spans="1:26" ht="32.450000000000003" customHeight="1" x14ac:dyDescent="0.25">
      <c r="A179" s="235"/>
      <c r="B179" s="180"/>
      <c r="C179" s="236"/>
      <c r="D179" s="237"/>
      <c r="E179" s="178">
        <v>4</v>
      </c>
      <c r="F179" s="181"/>
      <c r="G179" s="179"/>
      <c r="H179" s="179"/>
      <c r="I179" s="178" t="str">
        <f t="shared" si="34"/>
        <v xml:space="preserve">  </v>
      </c>
      <c r="J179" s="179"/>
      <c r="K179" s="231" t="str">
        <f>+IFERROR(VLOOKUP($J179,'11 FORMULAS'!$B$51:$C$53,2,0),"")</f>
        <v/>
      </c>
      <c r="L179" s="231" t="e">
        <f>+IF(J179="Preventivo","Probabilidad",IF(J179="Detectivo","Probabilidad",IF(#REF!="Correctivo","Impacto","")))</f>
        <v>#REF!</v>
      </c>
      <c r="M179" s="232"/>
      <c r="N179" s="231" t="str">
        <f>+IFERROR(VLOOKUP($M179,'11 FORMULAS'!$B$54:$C$55,2,0),"")</f>
        <v/>
      </c>
      <c r="O179" s="233"/>
      <c r="P179" s="233"/>
      <c r="Q179" s="233"/>
      <c r="R179" s="233"/>
      <c r="S179" s="231" t="str">
        <f t="shared" si="43"/>
        <v/>
      </c>
      <c r="T179" s="231" t="str">
        <f t="shared" si="44"/>
        <v/>
      </c>
      <c r="U179" s="231" t="str">
        <f t="shared" si="45"/>
        <v/>
      </c>
      <c r="V179" s="238"/>
      <c r="X179" s="239"/>
      <c r="Y179" s="247"/>
      <c r="Z179" s="247"/>
    </row>
    <row r="180" spans="1:26" ht="32.450000000000003" customHeight="1" x14ac:dyDescent="0.25">
      <c r="A180" s="235"/>
      <c r="B180" s="180"/>
      <c r="C180" s="236"/>
      <c r="D180" s="237"/>
      <c r="E180" s="178">
        <v>5</v>
      </c>
      <c r="F180" s="181"/>
      <c r="G180" s="179"/>
      <c r="H180" s="179"/>
      <c r="I180" s="178" t="str">
        <f t="shared" si="34"/>
        <v xml:space="preserve">  </v>
      </c>
      <c r="J180" s="179"/>
      <c r="K180" s="231" t="str">
        <f>+IFERROR(VLOOKUP($J180,'11 FORMULAS'!$B$51:$C$53,2,0),"")</f>
        <v/>
      </c>
      <c r="L180" s="231" t="e">
        <f>+IF(J180="Preventivo","Probabilidad",IF(J180="Detectivo","Probabilidad",IF(#REF!="Correctivo","Impacto","")))</f>
        <v>#REF!</v>
      </c>
      <c r="M180" s="232"/>
      <c r="N180" s="231" t="str">
        <f>+IFERROR(VLOOKUP($M180,'11 FORMULAS'!$B$54:$C$55,2,0),"")</f>
        <v/>
      </c>
      <c r="O180" s="233"/>
      <c r="P180" s="233"/>
      <c r="Q180" s="233"/>
      <c r="R180" s="233"/>
      <c r="S180" s="231" t="str">
        <f t="shared" si="43"/>
        <v/>
      </c>
      <c r="T180" s="231" t="str">
        <f t="shared" si="44"/>
        <v/>
      </c>
      <c r="U180" s="231" t="str">
        <f t="shared" si="45"/>
        <v/>
      </c>
      <c r="V180" s="238"/>
      <c r="X180" s="239"/>
      <c r="Y180" s="247"/>
      <c r="Z180" s="247"/>
    </row>
    <row r="181" spans="1:26" ht="32.450000000000003" customHeight="1" thickBot="1" x14ac:dyDescent="0.3">
      <c r="A181" s="240"/>
      <c r="B181" s="182"/>
      <c r="C181" s="241"/>
      <c r="D181" s="242"/>
      <c r="E181" s="243">
        <v>6</v>
      </c>
      <c r="F181" s="183"/>
      <c r="G181" s="184"/>
      <c r="H181" s="184"/>
      <c r="I181" s="178" t="str">
        <f t="shared" si="34"/>
        <v xml:space="preserve">  </v>
      </c>
      <c r="J181" s="179"/>
      <c r="K181" s="231" t="str">
        <f>+IFERROR(VLOOKUP($J181,'11 FORMULAS'!$B$51:$C$53,2,0),"")</f>
        <v/>
      </c>
      <c r="L181" s="231" t="e">
        <f>+IF(J181="Preventivo","Probabilidad",IF(J181="Detectivo","Probabilidad",IF(#REF!="Correctivo","Impacto","")))</f>
        <v>#REF!</v>
      </c>
      <c r="M181" s="232"/>
      <c r="N181" s="231" t="str">
        <f>+IFERROR(VLOOKUP($M181,'11 FORMULAS'!$B$54:$C$55,2,0),"")</f>
        <v/>
      </c>
      <c r="O181" s="233"/>
      <c r="P181" s="233"/>
      <c r="Q181" s="233"/>
      <c r="R181" s="233"/>
      <c r="S181" s="231" t="str">
        <f t="shared" si="43"/>
        <v/>
      </c>
      <c r="T181" s="231" t="str">
        <f t="shared" si="44"/>
        <v/>
      </c>
      <c r="U181" s="231" t="str">
        <f t="shared" si="45"/>
        <v/>
      </c>
      <c r="V181" s="244"/>
    </row>
    <row r="182" spans="1:26" ht="36" customHeight="1" x14ac:dyDescent="0.25">
      <c r="A182" s="228" t="str">
        <f>'2 CONTEXTO E IDENTIFICACIÓN'!A38</f>
        <v>R30</v>
      </c>
      <c r="B182" s="175" t="str">
        <f>+'2 CONTEXTO E IDENTIFICACIÓN'!J38</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C182" s="229">
        <f>+'3 PROBABIL E IMPACTO INHERENTE'!E38</f>
        <v>0.4</v>
      </c>
      <c r="D182" s="230">
        <f>+'3 PROBABIL E IMPACTO INHERENTE'!M38</f>
        <v>0.4</v>
      </c>
      <c r="E182" s="246">
        <v>1</v>
      </c>
      <c r="F182" s="176" t="s">
        <v>480</v>
      </c>
      <c r="G182" s="177" t="s">
        <v>481</v>
      </c>
      <c r="H182" s="177" t="s">
        <v>479</v>
      </c>
      <c r="I182" s="178" t="str">
        <f t="shared" si="34"/>
        <v>El(la) coordinador(a) del grupo interno de trabajo de gestión financiera. Validar el cumplimiento de los lineamientos establecidos en el Protocolo de seguridad y manejo de tesorería autorizadas por el Ministerio de Hacienda. Cualquier solicitud a la entidad bancaria que implique cambios en la plataforma de pagos o que no se encuentre dentro del protocolo establecido, debe ser firmada por el representante legal de la Agencia.</v>
      </c>
      <c r="J182" s="179" t="s">
        <v>199</v>
      </c>
      <c r="K182" s="231">
        <f>+IFERROR(VLOOKUP($J182,'11 FORMULAS'!$B$51:$C$53,2,0),"")</f>
        <v>0.25</v>
      </c>
      <c r="L182" s="231" t="str">
        <f>+IF(J182="Preventivo","Probabilidad",IF(J182="Detectivo","Probabilidad",IF(#REF!="Correctivo","Impacto","")))</f>
        <v>Probabilidad</v>
      </c>
      <c r="M182" s="232" t="s">
        <v>211</v>
      </c>
      <c r="N182" s="231">
        <f>+IFERROR(VLOOKUP($M182,'11 FORMULAS'!$B$54:$C$55,2,0),"")</f>
        <v>0.15</v>
      </c>
      <c r="O182" s="233" t="s">
        <v>201</v>
      </c>
      <c r="P182" s="233" t="s">
        <v>288</v>
      </c>
      <c r="Q182" s="233" t="s">
        <v>295</v>
      </c>
      <c r="R182" s="233" t="s">
        <v>204</v>
      </c>
      <c r="S182" s="231">
        <f t="shared" si="43"/>
        <v>0.4</v>
      </c>
      <c r="T182" s="231">
        <f>+IFERROR(C182*S182,"")</f>
        <v>0.16000000000000003</v>
      </c>
      <c r="U182" s="231">
        <f>+IFERROR(C182-T182,"")</f>
        <v>0.24</v>
      </c>
      <c r="V182" s="234" cm="1">
        <f t="array" ref="V182">LOOKUP(2,1/(U182:U187&lt;&gt;"")*U182:U187)</f>
        <v>0.14399999999999999</v>
      </c>
      <c r="X182" s="239"/>
      <c r="Y182" s="247"/>
      <c r="Z182" s="247"/>
    </row>
    <row r="183" spans="1:26" ht="36" customHeight="1" x14ac:dyDescent="0.25">
      <c r="A183" s="252"/>
      <c r="B183" s="188"/>
      <c r="C183" s="253"/>
      <c r="D183" s="254"/>
      <c r="E183" s="178">
        <v>2</v>
      </c>
      <c r="F183" s="189" t="s">
        <v>483</v>
      </c>
      <c r="G183" s="190" t="s">
        <v>484</v>
      </c>
      <c r="H183" s="190" t="s">
        <v>482</v>
      </c>
      <c r="I183" s="178" t="str">
        <f t="shared" si="34"/>
        <v>El(la) profesional con funciones de central de cuentas del proceso de gestión financiera. Realizar conciliaciones bancarias acorde con lo establecido en el Procedimiento de elaboración de estados financieros. En caso de no realizarse la conciliación bancaria en los tiempos establecidos, el profesional especializado con funciones de contador de la Agencia identifica las razones de la no conciliación, por parte del reponsable de la función y procede a su realización.</v>
      </c>
      <c r="J183" s="179" t="s">
        <v>199</v>
      </c>
      <c r="K183" s="231">
        <f>+IFERROR(VLOOKUP($J183,'11 FORMULAS'!$B$51:$C$53,2,0),"")</f>
        <v>0.25</v>
      </c>
      <c r="L183" s="231" t="str">
        <f>+IF(J183="Preventivo","Probabilidad",IF(J183="Detectivo","Probabilidad",IF(#REF!="Correctivo","Impacto","")))</f>
        <v>Probabilidad</v>
      </c>
      <c r="M183" s="232" t="s">
        <v>211</v>
      </c>
      <c r="N183" s="231">
        <f>+IFERROR(VLOOKUP($M183,'11 FORMULAS'!$B$54:$C$55,2,0),"")</f>
        <v>0.15</v>
      </c>
      <c r="O183" s="233" t="s">
        <v>212</v>
      </c>
      <c r="P183" s="233" t="s">
        <v>288</v>
      </c>
      <c r="Q183" s="233" t="s">
        <v>214</v>
      </c>
      <c r="R183" s="233" t="s">
        <v>204</v>
      </c>
      <c r="S183" s="231">
        <f t="shared" si="43"/>
        <v>0.4</v>
      </c>
      <c r="T183" s="231">
        <f>+IFERROR(U182*S183,"")</f>
        <v>9.6000000000000002E-2</v>
      </c>
      <c r="U183" s="231">
        <f>+IFERROR(U182-T183,"")</f>
        <v>0.14399999999999999</v>
      </c>
      <c r="V183" s="238"/>
      <c r="X183" s="239"/>
      <c r="Y183" s="247"/>
      <c r="Z183" s="247"/>
    </row>
    <row r="184" spans="1:26" ht="33.6" customHeight="1" x14ac:dyDescent="0.25">
      <c r="A184" s="252"/>
      <c r="B184" s="188"/>
      <c r="C184" s="253"/>
      <c r="D184" s="254"/>
      <c r="E184" s="178">
        <v>3</v>
      </c>
      <c r="F184" s="189"/>
      <c r="G184" s="190"/>
      <c r="H184" s="190"/>
      <c r="I184" s="178" t="str">
        <f t="shared" si="34"/>
        <v xml:space="preserve">  </v>
      </c>
      <c r="J184" s="179"/>
      <c r="K184" s="231" t="str">
        <f>+IFERROR(VLOOKUP($J184,'11 FORMULAS'!$B$51:$C$53,2,0),"")</f>
        <v/>
      </c>
      <c r="L184" s="231" t="e">
        <f>+IF(J184="Preventivo","Probabilidad",IF(J184="Detectivo","Probabilidad",IF(#REF!="Correctivo","Impacto","")))</f>
        <v>#REF!</v>
      </c>
      <c r="M184" s="232"/>
      <c r="N184" s="231" t="str">
        <f>+IFERROR(VLOOKUP($M184,'11 FORMULAS'!$B$54:$C$55,2,0),"")</f>
        <v/>
      </c>
      <c r="O184" s="233"/>
      <c r="P184" s="233"/>
      <c r="Q184" s="233"/>
      <c r="R184" s="233"/>
      <c r="S184" s="231" t="str">
        <f t="shared" si="43"/>
        <v/>
      </c>
      <c r="T184" s="231" t="str">
        <f t="shared" ref="T184:T187" si="46">+IFERROR(C184*S184,"")</f>
        <v/>
      </c>
      <c r="U184" s="231" t="str">
        <f t="shared" ref="U184:U187" si="47">+IFERROR(S184-T184,"")</f>
        <v/>
      </c>
      <c r="V184" s="238"/>
      <c r="X184" s="239"/>
      <c r="Y184" s="247"/>
      <c r="Z184" s="247"/>
    </row>
    <row r="185" spans="1:26" ht="33.6" customHeight="1" x14ac:dyDescent="0.25">
      <c r="A185" s="235"/>
      <c r="B185" s="180"/>
      <c r="C185" s="236"/>
      <c r="D185" s="237"/>
      <c r="E185" s="178">
        <v>4</v>
      </c>
      <c r="F185" s="181"/>
      <c r="G185" s="179"/>
      <c r="H185" s="179"/>
      <c r="I185" s="178" t="str">
        <f t="shared" si="34"/>
        <v xml:space="preserve">  </v>
      </c>
      <c r="J185" s="179"/>
      <c r="K185" s="231" t="str">
        <f>+IFERROR(VLOOKUP($J185,'11 FORMULAS'!$B$51:$C$53,2,0),"")</f>
        <v/>
      </c>
      <c r="L185" s="231" t="e">
        <f>+IF(J185="Preventivo","Probabilidad",IF(J185="Detectivo","Probabilidad",IF(#REF!="Correctivo","Impacto","")))</f>
        <v>#REF!</v>
      </c>
      <c r="M185" s="232"/>
      <c r="N185" s="231" t="str">
        <f>+IFERROR(VLOOKUP($M185,'11 FORMULAS'!$B$54:$C$55,2,0),"")</f>
        <v/>
      </c>
      <c r="O185" s="233"/>
      <c r="P185" s="233"/>
      <c r="Q185" s="233"/>
      <c r="R185" s="233"/>
      <c r="S185" s="231" t="str">
        <f t="shared" si="43"/>
        <v/>
      </c>
      <c r="T185" s="231" t="str">
        <f t="shared" si="46"/>
        <v/>
      </c>
      <c r="U185" s="231" t="str">
        <f t="shared" si="47"/>
        <v/>
      </c>
      <c r="V185" s="238"/>
      <c r="X185" s="239"/>
      <c r="Y185" s="247"/>
      <c r="Z185" s="247"/>
    </row>
    <row r="186" spans="1:26" ht="33.6" customHeight="1" x14ac:dyDescent="0.25">
      <c r="A186" s="235"/>
      <c r="B186" s="180"/>
      <c r="C186" s="236"/>
      <c r="D186" s="237"/>
      <c r="E186" s="178">
        <v>5</v>
      </c>
      <c r="F186" s="181"/>
      <c r="G186" s="179"/>
      <c r="H186" s="179"/>
      <c r="I186" s="178" t="str">
        <f t="shared" si="34"/>
        <v xml:space="preserve">  </v>
      </c>
      <c r="J186" s="179"/>
      <c r="K186" s="231" t="str">
        <f>+IFERROR(VLOOKUP($J186,'11 FORMULAS'!$B$51:$C$53,2,0),"")</f>
        <v/>
      </c>
      <c r="L186" s="231" t="e">
        <f>+IF(J186="Preventivo","Probabilidad",IF(J186="Detectivo","Probabilidad",IF(#REF!="Correctivo","Impacto","")))</f>
        <v>#REF!</v>
      </c>
      <c r="M186" s="232"/>
      <c r="N186" s="231" t="str">
        <f>+IFERROR(VLOOKUP($M186,'11 FORMULAS'!$B$54:$C$55,2,0),"")</f>
        <v/>
      </c>
      <c r="O186" s="233"/>
      <c r="P186" s="233"/>
      <c r="Q186" s="233"/>
      <c r="R186" s="233"/>
      <c r="S186" s="231" t="str">
        <f t="shared" si="43"/>
        <v/>
      </c>
      <c r="T186" s="231" t="str">
        <f t="shared" si="46"/>
        <v/>
      </c>
      <c r="U186" s="231" t="str">
        <f t="shared" si="47"/>
        <v/>
      </c>
      <c r="V186" s="238"/>
      <c r="X186" s="239"/>
      <c r="Y186" s="247"/>
      <c r="Z186" s="247"/>
    </row>
    <row r="187" spans="1:26" ht="33.6" customHeight="1" thickBot="1" x14ac:dyDescent="0.3">
      <c r="A187" s="240"/>
      <c r="B187" s="182"/>
      <c r="C187" s="241"/>
      <c r="D187" s="242"/>
      <c r="E187" s="243">
        <v>6</v>
      </c>
      <c r="F187" s="183"/>
      <c r="G187" s="184"/>
      <c r="H187" s="184"/>
      <c r="I187" s="178" t="str">
        <f t="shared" si="34"/>
        <v xml:space="preserve">  </v>
      </c>
      <c r="J187" s="179"/>
      <c r="K187" s="231" t="str">
        <f>+IFERROR(VLOOKUP($J187,'11 FORMULAS'!$B$51:$C$53,2,0),"")</f>
        <v/>
      </c>
      <c r="L187" s="231" t="e">
        <f>+IF(J187="Preventivo","Probabilidad",IF(J187="Detectivo","Probabilidad",IF(#REF!="Correctivo","Impacto","")))</f>
        <v>#REF!</v>
      </c>
      <c r="M187" s="232"/>
      <c r="N187" s="231" t="str">
        <f>+IFERROR(VLOOKUP($M187,'11 FORMULAS'!$B$54:$C$55,2,0),"")</f>
        <v/>
      </c>
      <c r="O187" s="233"/>
      <c r="P187" s="233"/>
      <c r="Q187" s="233"/>
      <c r="R187" s="233"/>
      <c r="S187" s="231" t="str">
        <f t="shared" si="43"/>
        <v/>
      </c>
      <c r="T187" s="231" t="str">
        <f t="shared" si="46"/>
        <v/>
      </c>
      <c r="U187" s="231" t="str">
        <f t="shared" si="47"/>
        <v/>
      </c>
      <c r="V187" s="244"/>
    </row>
    <row r="188" spans="1:26" ht="33.6" customHeight="1" x14ac:dyDescent="0.25">
      <c r="A188" s="228" t="str">
        <f>'2 CONTEXTO E IDENTIFICACIÓN'!A39</f>
        <v>R31</v>
      </c>
      <c r="B188" s="175" t="str">
        <f>+'2 CONTEXTO E IDENTIFICACIÓN'!J39</f>
        <v>Posibilidad de afectación económica y reputacional por la insuficiencia de controles adecuados para el registro de cuentas por pagar y obligaciones a causa de  la falta de seguimiento y control por parte de los supervisores de contrato u orden de compra</v>
      </c>
      <c r="C188" s="229">
        <f>+'3 PROBABIL E IMPACTO INHERENTE'!E39</f>
        <v>0.4</v>
      </c>
      <c r="D188" s="230">
        <f>+'3 PROBABIL E IMPACTO INHERENTE'!M39</f>
        <v>0.4</v>
      </c>
      <c r="E188" s="246">
        <v>1</v>
      </c>
      <c r="F188" s="176" t="s">
        <v>477</v>
      </c>
      <c r="G188" s="177" t="s">
        <v>478</v>
      </c>
      <c r="H188" s="177" t="s">
        <v>476</v>
      </c>
      <c r="I188" s="178" t="str">
        <f t="shared" si="34"/>
        <v>El(la) contador(a) del grupo interno de trabajo de gestión financiera o quién haga sus veces. Realizar seguimiento y verificación en SECOP II y aplicar formato de seguimiento a los proveedores con más de un contrato u orden de compra suscrito con APC-Colombia. En caso de encontrar inconsistencias en la solicitud de pago, éste será devuelto para verificación y corrección por parte del proveedor y superviso</v>
      </c>
      <c r="J188" s="179" t="s">
        <v>199</v>
      </c>
      <c r="K188" s="231">
        <f>+IFERROR(VLOOKUP($J188,'11 FORMULAS'!$B$51:$C$53,2,0),"")</f>
        <v>0.25</v>
      </c>
      <c r="L188" s="231" t="str">
        <f>+IF(J188="Preventivo","Probabilidad",IF(J188="Detectivo","Probabilidad",IF(#REF!="Correctivo","Impacto","")))</f>
        <v>Probabilidad</v>
      </c>
      <c r="M188" s="232" t="s">
        <v>211</v>
      </c>
      <c r="N188" s="231">
        <f>+IFERROR(VLOOKUP($M188,'11 FORMULAS'!$B$54:$C$55,2,0),"")</f>
        <v>0.15</v>
      </c>
      <c r="O188" s="233" t="s">
        <v>201</v>
      </c>
      <c r="P188" s="233" t="s">
        <v>288</v>
      </c>
      <c r="Q188" s="233" t="s">
        <v>295</v>
      </c>
      <c r="R188" s="233" t="s">
        <v>204</v>
      </c>
      <c r="S188" s="231">
        <f t="shared" si="43"/>
        <v>0.4</v>
      </c>
      <c r="T188" s="231">
        <f>+IFERROR(C188*S188,"")</f>
        <v>0.16000000000000003</v>
      </c>
      <c r="U188" s="231">
        <f>+IFERROR(C188-T188,"")</f>
        <v>0.24</v>
      </c>
      <c r="V188" s="234" cm="1">
        <f t="array" ref="V188">LOOKUP(2,1/(U188:U193&lt;&gt;"")*U188:U193)</f>
        <v>0.24</v>
      </c>
    </row>
    <row r="189" spans="1:26" ht="33.6" customHeight="1" x14ac:dyDescent="0.25">
      <c r="A189" s="252"/>
      <c r="B189" s="188"/>
      <c r="C189" s="253"/>
      <c r="D189" s="254"/>
      <c r="E189" s="178">
        <v>2</v>
      </c>
      <c r="F189" s="189"/>
      <c r="G189" s="190"/>
      <c r="H189" s="190"/>
      <c r="I189" s="178" t="str">
        <f t="shared" si="34"/>
        <v xml:space="preserve">  </v>
      </c>
      <c r="J189" s="179"/>
      <c r="K189" s="231" t="str">
        <f>+IFERROR(VLOOKUP($J189,'11 FORMULAS'!$B$51:$C$53,2,0),"")</f>
        <v/>
      </c>
      <c r="L189" s="231" t="e">
        <f>+IF(J189="Preventivo","Probabilidad",IF(J189="Detectivo","Probabilidad",IF(#REF!="Correctivo","Impacto","")))</f>
        <v>#REF!</v>
      </c>
      <c r="M189" s="232"/>
      <c r="N189" s="231" t="str">
        <f>+IFERROR(VLOOKUP($M189,'11 FORMULAS'!$B$54:$C$55,2,0),"")</f>
        <v/>
      </c>
      <c r="O189" s="233"/>
      <c r="P189" s="233"/>
      <c r="Q189" s="233"/>
      <c r="R189" s="233"/>
      <c r="S189" s="231" t="str">
        <f t="shared" si="43"/>
        <v/>
      </c>
      <c r="T189" s="231" t="str">
        <f t="shared" ref="T189:T193" si="48">+IFERROR(C189*S189,"")</f>
        <v/>
      </c>
      <c r="U189" s="231" t="str">
        <f t="shared" ref="U189:U193" si="49">+IFERROR(S189-T189,"")</f>
        <v/>
      </c>
      <c r="V189" s="238"/>
    </row>
    <row r="190" spans="1:26" ht="33.6" customHeight="1" x14ac:dyDescent="0.25">
      <c r="A190" s="252"/>
      <c r="B190" s="188"/>
      <c r="C190" s="253"/>
      <c r="D190" s="254"/>
      <c r="E190" s="178">
        <v>3</v>
      </c>
      <c r="F190" s="189"/>
      <c r="G190" s="190"/>
      <c r="H190" s="190"/>
      <c r="I190" s="178" t="str">
        <f t="shared" si="34"/>
        <v xml:space="preserve">  </v>
      </c>
      <c r="J190" s="179"/>
      <c r="K190" s="231" t="str">
        <f>+IFERROR(VLOOKUP($J190,'11 FORMULAS'!$B$51:$C$53,2,0),"")</f>
        <v/>
      </c>
      <c r="L190" s="231" t="e">
        <f>+IF(J190="Preventivo","Probabilidad",IF(J190="Detectivo","Probabilidad",IF(#REF!="Correctivo","Impacto","")))</f>
        <v>#REF!</v>
      </c>
      <c r="M190" s="232"/>
      <c r="N190" s="231" t="str">
        <f>+IFERROR(VLOOKUP($M190,'11 FORMULAS'!$B$54:$C$55,2,0),"")</f>
        <v/>
      </c>
      <c r="O190" s="233"/>
      <c r="P190" s="233"/>
      <c r="Q190" s="233"/>
      <c r="R190" s="233"/>
      <c r="S190" s="231" t="str">
        <f t="shared" si="43"/>
        <v/>
      </c>
      <c r="T190" s="231" t="str">
        <f t="shared" si="48"/>
        <v/>
      </c>
      <c r="U190" s="231" t="str">
        <f t="shared" si="49"/>
        <v/>
      </c>
      <c r="V190" s="238"/>
    </row>
    <row r="191" spans="1:26" ht="33.6" customHeight="1" x14ac:dyDescent="0.25">
      <c r="A191" s="235"/>
      <c r="B191" s="180"/>
      <c r="C191" s="236"/>
      <c r="D191" s="237"/>
      <c r="E191" s="178">
        <v>4</v>
      </c>
      <c r="F191" s="181"/>
      <c r="G191" s="179"/>
      <c r="H191" s="179"/>
      <c r="I191" s="178" t="str">
        <f t="shared" si="34"/>
        <v xml:space="preserve">  </v>
      </c>
      <c r="J191" s="179"/>
      <c r="K191" s="231" t="str">
        <f>+IFERROR(VLOOKUP($J191,'11 FORMULAS'!$B$51:$C$53,2,0),"")</f>
        <v/>
      </c>
      <c r="L191" s="231" t="e">
        <f>+IF(J191="Preventivo","Probabilidad",IF(J191="Detectivo","Probabilidad",IF(#REF!="Correctivo","Impacto","")))</f>
        <v>#REF!</v>
      </c>
      <c r="M191" s="232"/>
      <c r="N191" s="231" t="str">
        <f>+IFERROR(VLOOKUP($M191,'11 FORMULAS'!$B$54:$C$55,2,0),"")</f>
        <v/>
      </c>
      <c r="O191" s="233"/>
      <c r="P191" s="233"/>
      <c r="Q191" s="233"/>
      <c r="R191" s="233"/>
      <c r="S191" s="231" t="str">
        <f t="shared" si="43"/>
        <v/>
      </c>
      <c r="T191" s="231" t="str">
        <f t="shared" si="48"/>
        <v/>
      </c>
      <c r="U191" s="231" t="str">
        <f t="shared" si="49"/>
        <v/>
      </c>
      <c r="V191" s="238"/>
    </row>
    <row r="192" spans="1:26" ht="33.6" customHeight="1" x14ac:dyDescent="0.25">
      <c r="A192" s="235"/>
      <c r="B192" s="180"/>
      <c r="C192" s="236"/>
      <c r="D192" s="237"/>
      <c r="E192" s="178">
        <v>5</v>
      </c>
      <c r="F192" s="181"/>
      <c r="G192" s="179"/>
      <c r="H192" s="179"/>
      <c r="I192" s="178" t="str">
        <f t="shared" si="34"/>
        <v xml:space="preserve">  </v>
      </c>
      <c r="J192" s="179"/>
      <c r="K192" s="231" t="str">
        <f>+IFERROR(VLOOKUP($J192,'11 FORMULAS'!$B$51:$C$53,2,0),"")</f>
        <v/>
      </c>
      <c r="L192" s="231" t="e">
        <f>+IF(J192="Preventivo","Probabilidad",IF(J192="Detectivo","Probabilidad",IF(#REF!="Correctivo","Impacto","")))</f>
        <v>#REF!</v>
      </c>
      <c r="M192" s="232"/>
      <c r="N192" s="231" t="str">
        <f>+IFERROR(VLOOKUP($M192,'11 FORMULAS'!$B$54:$C$55,2,0),"")</f>
        <v/>
      </c>
      <c r="O192" s="233"/>
      <c r="P192" s="233"/>
      <c r="Q192" s="233"/>
      <c r="R192" s="233"/>
      <c r="S192" s="231" t="str">
        <f t="shared" si="43"/>
        <v/>
      </c>
      <c r="T192" s="231" t="str">
        <f t="shared" si="48"/>
        <v/>
      </c>
      <c r="U192" s="231" t="str">
        <f t="shared" si="49"/>
        <v/>
      </c>
      <c r="V192" s="238"/>
    </row>
    <row r="193" spans="1:22" ht="33.6" customHeight="1" thickBot="1" x14ac:dyDescent="0.3">
      <c r="A193" s="240"/>
      <c r="B193" s="182"/>
      <c r="C193" s="241"/>
      <c r="D193" s="242"/>
      <c r="E193" s="243">
        <v>6</v>
      </c>
      <c r="F193" s="183"/>
      <c r="G193" s="184"/>
      <c r="H193" s="184"/>
      <c r="I193" s="178" t="str">
        <f t="shared" si="34"/>
        <v xml:space="preserve">  </v>
      </c>
      <c r="J193" s="179"/>
      <c r="K193" s="231" t="str">
        <f>+IFERROR(VLOOKUP($J193,'11 FORMULAS'!$B$51:$C$53,2,0),"")</f>
        <v/>
      </c>
      <c r="L193" s="231" t="e">
        <f>+IF(J193="Preventivo","Probabilidad",IF(J193="Detectivo","Probabilidad",IF(#REF!="Correctivo","Impacto","")))</f>
        <v>#REF!</v>
      </c>
      <c r="M193" s="232"/>
      <c r="N193" s="231" t="str">
        <f>+IFERROR(VLOOKUP($M193,'11 FORMULAS'!$B$54:$C$55,2,0),"")</f>
        <v/>
      </c>
      <c r="O193" s="233"/>
      <c r="P193" s="233"/>
      <c r="Q193" s="233"/>
      <c r="R193" s="233"/>
      <c r="S193" s="231" t="str">
        <f t="shared" si="43"/>
        <v/>
      </c>
      <c r="T193" s="231" t="str">
        <f t="shared" si="48"/>
        <v/>
      </c>
      <c r="U193" s="231" t="str">
        <f t="shared" si="49"/>
        <v/>
      </c>
      <c r="V193" s="244"/>
    </row>
  </sheetData>
  <sheetProtection formatCells="0" formatColumns="0" formatRows="0" sort="0" autoFilter="0" pivotTables="0"/>
  <autoFilter ref="A7:W127"/>
  <dataConsolidate/>
  <mergeCells count="173">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 ref="A128:A133"/>
    <mergeCell ref="B128:B133"/>
    <mergeCell ref="C128:C133"/>
    <mergeCell ref="D128:D133"/>
    <mergeCell ref="V128:V133"/>
    <mergeCell ref="A134:A139"/>
    <mergeCell ref="B134:B139"/>
    <mergeCell ref="C134:C139"/>
    <mergeCell ref="D134:D139"/>
    <mergeCell ref="V134:V139"/>
    <mergeCell ref="A140:A145"/>
    <mergeCell ref="B140:B145"/>
    <mergeCell ref="C140:C145"/>
    <mergeCell ref="D140:D145"/>
    <mergeCell ref="V140:V145"/>
    <mergeCell ref="A146:A151"/>
    <mergeCell ref="B146:B151"/>
    <mergeCell ref="C146:C151"/>
    <mergeCell ref="D146:D151"/>
    <mergeCell ref="V146:V151"/>
    <mergeCell ref="A152:A157"/>
    <mergeCell ref="B152:B157"/>
    <mergeCell ref="C152:C157"/>
    <mergeCell ref="D152:D157"/>
    <mergeCell ref="V152:V157"/>
    <mergeCell ref="A158:A163"/>
    <mergeCell ref="B158:B163"/>
    <mergeCell ref="C158:C163"/>
    <mergeCell ref="D158:D163"/>
    <mergeCell ref="V158:V163"/>
    <mergeCell ref="A164:A169"/>
    <mergeCell ref="B164:B169"/>
    <mergeCell ref="C164:C169"/>
    <mergeCell ref="D164:D169"/>
    <mergeCell ref="V164:V169"/>
    <mergeCell ref="A170:A175"/>
    <mergeCell ref="B170:B175"/>
    <mergeCell ref="C170:C175"/>
    <mergeCell ref="D170:D175"/>
    <mergeCell ref="V170:V175"/>
    <mergeCell ref="A188:A193"/>
    <mergeCell ref="B188:B193"/>
    <mergeCell ref="C188:C193"/>
    <mergeCell ref="D188:D193"/>
    <mergeCell ref="V188:V193"/>
    <mergeCell ref="A176:A181"/>
    <mergeCell ref="B176:B181"/>
    <mergeCell ref="C176:C181"/>
    <mergeCell ref="D176:D181"/>
    <mergeCell ref="V176:V181"/>
    <mergeCell ref="A182:A187"/>
    <mergeCell ref="B182:B187"/>
    <mergeCell ref="C182:C187"/>
    <mergeCell ref="D182:D187"/>
    <mergeCell ref="V182:V187"/>
  </mergeCells>
  <phoneticPr fontId="0" type="noConversion"/>
  <conditionalFormatting sqref="C8:D8 V8 C14:D14 V14 C20:D20 V20 C26:D26 V26 V32 C32:D34 V38 C38:D40 C44:D44 V44 C50:D50 V50 C56:D56 V56 C62:D62 V62 V68 C68:D70 C74:D74 V74 C80:D80 V80 C86:D86 V86 C92:D92 V92 C98:D98 V98 V104 C104:D106 V110 C110:D112 V116 C116:D118 V122 C122:D124 V128">
    <cfRule type="cellIs" dxfId="219" priority="419" operator="between">
      <formula>$Y$6</formula>
      <formula>$Z$6</formula>
    </cfRule>
    <cfRule type="cellIs" dxfId="218" priority="420" operator="between">
      <formula>$Y$7</formula>
      <formula>$Z$7</formula>
    </cfRule>
    <cfRule type="cellIs" dxfId="217" priority="421" operator="between">
      <formula>$Y$8</formula>
      <formula>$Z$8</formula>
    </cfRule>
    <cfRule type="cellIs" dxfId="216" priority="422" operator="between">
      <formula>$Y$9</formula>
      <formula>$Z$9</formula>
    </cfRule>
    <cfRule type="cellIs" dxfId="215" priority="423" operator="between">
      <formula>$Y$10</formula>
      <formula>$Z$10</formula>
    </cfRule>
  </conditionalFormatting>
  <conditionalFormatting sqref="C128:D130">
    <cfRule type="cellIs" dxfId="214" priority="146" operator="between">
      <formula>$Y$6</formula>
      <formula>$Z$6</formula>
    </cfRule>
    <cfRule type="cellIs" dxfId="213" priority="147" operator="between">
      <formula>$Y$7</formula>
      <formula>$Z$7</formula>
    </cfRule>
    <cfRule type="cellIs" dxfId="212" priority="148" operator="between">
      <formula>$Y$8</formula>
      <formula>$Z$8</formula>
    </cfRule>
    <cfRule type="cellIs" dxfId="211" priority="149" operator="between">
      <formula>$Y$9</formula>
      <formula>$Z$9</formula>
    </cfRule>
    <cfRule type="cellIs" dxfId="210" priority="150" operator="between">
      <formula>$Y$10</formula>
      <formula>$Z$10</formula>
    </cfRule>
  </conditionalFormatting>
  <conditionalFormatting sqref="C134:D136">
    <cfRule type="cellIs" dxfId="209" priority="91" operator="between">
      <formula>$Y$6</formula>
      <formula>$Z$6</formula>
    </cfRule>
    <cfRule type="cellIs" dxfId="208" priority="92" operator="between">
      <formula>$Y$7</formula>
      <formula>$Z$7</formula>
    </cfRule>
    <cfRule type="cellIs" dxfId="207" priority="93" operator="between">
      <formula>$Y$8</formula>
      <formula>$Z$8</formula>
    </cfRule>
    <cfRule type="cellIs" dxfId="206" priority="94" operator="between">
      <formula>$Y$9</formula>
      <formula>$Z$9</formula>
    </cfRule>
    <cfRule type="cellIs" dxfId="205" priority="95" operator="between">
      <formula>$Y$10</formula>
      <formula>$Z$10</formula>
    </cfRule>
  </conditionalFormatting>
  <conditionalFormatting sqref="C140:D142">
    <cfRule type="cellIs" dxfId="204" priority="81" operator="between">
      <formula>$Y$6</formula>
      <formula>$Z$6</formula>
    </cfRule>
    <cfRule type="cellIs" dxfId="203" priority="82" operator="between">
      <formula>$Y$7</formula>
      <formula>$Z$7</formula>
    </cfRule>
    <cfRule type="cellIs" dxfId="202" priority="83" operator="between">
      <formula>$Y$8</formula>
      <formula>$Z$8</formula>
    </cfRule>
    <cfRule type="cellIs" dxfId="201" priority="84" operator="between">
      <formula>$Y$9</formula>
      <formula>$Z$9</formula>
    </cfRule>
    <cfRule type="cellIs" dxfId="200" priority="85" operator="between">
      <formula>$Y$10</formula>
      <formula>$Z$10</formula>
    </cfRule>
  </conditionalFormatting>
  <conditionalFormatting sqref="C146:D148">
    <cfRule type="cellIs" dxfId="199" priority="71" operator="between">
      <formula>$Y$6</formula>
      <formula>$Z$6</formula>
    </cfRule>
    <cfRule type="cellIs" dxfId="198" priority="72" operator="between">
      <formula>$Y$7</formula>
      <formula>$Z$7</formula>
    </cfRule>
    <cfRule type="cellIs" dxfId="197" priority="73" operator="between">
      <formula>$Y$8</formula>
      <formula>$Z$8</formula>
    </cfRule>
    <cfRule type="cellIs" dxfId="196" priority="74" operator="between">
      <formula>$Y$9</formula>
      <formula>$Z$9</formula>
    </cfRule>
    <cfRule type="cellIs" dxfId="195" priority="75" operator="between">
      <formula>$Y$10</formula>
      <formula>$Z$10</formula>
    </cfRule>
  </conditionalFormatting>
  <conditionalFormatting sqref="C152:D154">
    <cfRule type="cellIs" dxfId="194" priority="61" operator="between">
      <formula>$Y$6</formula>
      <formula>$Z$6</formula>
    </cfRule>
    <cfRule type="cellIs" dxfId="193" priority="62" operator="between">
      <formula>$Y$7</formula>
      <formula>$Z$7</formula>
    </cfRule>
    <cfRule type="cellIs" dxfId="192" priority="63" operator="between">
      <formula>$Y$8</formula>
      <formula>$Z$8</formula>
    </cfRule>
    <cfRule type="cellIs" dxfId="191" priority="64" operator="between">
      <formula>$Y$9</formula>
      <formula>$Z$9</formula>
    </cfRule>
    <cfRule type="cellIs" dxfId="190" priority="65" operator="between">
      <formula>$Y$10</formula>
      <formula>$Z$10</formula>
    </cfRule>
  </conditionalFormatting>
  <conditionalFormatting sqref="C158:D160">
    <cfRule type="cellIs" dxfId="189" priority="51" operator="between">
      <formula>$Y$6</formula>
      <formula>$Z$6</formula>
    </cfRule>
    <cfRule type="cellIs" dxfId="188" priority="52" operator="between">
      <formula>$Y$7</formula>
      <formula>$Z$7</formula>
    </cfRule>
    <cfRule type="cellIs" dxfId="187" priority="53" operator="between">
      <formula>$Y$8</formula>
      <formula>$Z$8</formula>
    </cfRule>
    <cfRule type="cellIs" dxfId="186" priority="54" operator="between">
      <formula>$Y$9</formula>
      <formula>$Z$9</formula>
    </cfRule>
    <cfRule type="cellIs" dxfId="185" priority="55" operator="between">
      <formula>$Y$10</formula>
      <formula>$Z$10</formula>
    </cfRule>
  </conditionalFormatting>
  <conditionalFormatting sqref="C164:D166">
    <cfRule type="cellIs" dxfId="184" priority="41" operator="between">
      <formula>$Y$6</formula>
      <formula>$Z$6</formula>
    </cfRule>
    <cfRule type="cellIs" dxfId="183" priority="42" operator="between">
      <formula>$Y$7</formula>
      <formula>$Z$7</formula>
    </cfRule>
    <cfRule type="cellIs" dxfId="182" priority="43" operator="between">
      <formula>$Y$8</formula>
      <formula>$Z$8</formula>
    </cfRule>
    <cfRule type="cellIs" dxfId="181" priority="44" operator="between">
      <formula>$Y$9</formula>
      <formula>$Z$9</formula>
    </cfRule>
    <cfRule type="cellIs" dxfId="180" priority="45" operator="between">
      <formula>$Y$10</formula>
      <formula>$Z$10</formula>
    </cfRule>
  </conditionalFormatting>
  <conditionalFormatting sqref="C170:D172">
    <cfRule type="cellIs" dxfId="179" priority="31" operator="between">
      <formula>$Y$6</formula>
      <formula>$Z$6</formula>
    </cfRule>
    <cfRule type="cellIs" dxfId="178" priority="32" operator="between">
      <formula>$Y$7</formula>
      <formula>$Z$7</formula>
    </cfRule>
    <cfRule type="cellIs" dxfId="177" priority="33" operator="between">
      <formula>$Y$8</formula>
      <formula>$Z$8</formula>
    </cfRule>
    <cfRule type="cellIs" dxfId="176" priority="34" operator="between">
      <formula>$Y$9</formula>
      <formula>$Z$9</formula>
    </cfRule>
    <cfRule type="cellIs" dxfId="175" priority="35" operator="between">
      <formula>$Y$10</formula>
      <formula>$Z$10</formula>
    </cfRule>
  </conditionalFormatting>
  <conditionalFormatting sqref="C176:D178">
    <cfRule type="cellIs" dxfId="174" priority="21" operator="between">
      <formula>$Y$6</formula>
      <formula>$Z$6</formula>
    </cfRule>
    <cfRule type="cellIs" dxfId="173" priority="22" operator="between">
      <formula>$Y$7</formula>
      <formula>$Z$7</formula>
    </cfRule>
    <cfRule type="cellIs" dxfId="172" priority="23" operator="between">
      <formula>$Y$8</formula>
      <formula>$Z$8</formula>
    </cfRule>
    <cfRule type="cellIs" dxfId="171" priority="24" operator="between">
      <formula>$Y$9</formula>
      <formula>$Z$9</formula>
    </cfRule>
    <cfRule type="cellIs" dxfId="170" priority="25" operator="between">
      <formula>$Y$10</formula>
      <formula>$Z$10</formula>
    </cfRule>
  </conditionalFormatting>
  <conditionalFormatting sqref="C182:D184">
    <cfRule type="cellIs" dxfId="169" priority="11" operator="between">
      <formula>$Y$6</formula>
      <formula>$Z$6</formula>
    </cfRule>
    <cfRule type="cellIs" dxfId="168" priority="12" operator="between">
      <formula>$Y$7</formula>
      <formula>$Z$7</formula>
    </cfRule>
    <cfRule type="cellIs" dxfId="167" priority="13" operator="between">
      <formula>$Y$8</formula>
      <formula>$Z$8</formula>
    </cfRule>
    <cfRule type="cellIs" dxfId="166" priority="14" operator="between">
      <formula>$Y$9</formula>
      <formula>$Z$9</formula>
    </cfRule>
    <cfRule type="cellIs" dxfId="165" priority="15" operator="between">
      <formula>$Y$10</formula>
      <formula>$Z$10</formula>
    </cfRule>
  </conditionalFormatting>
  <conditionalFormatting sqref="C188:D190">
    <cfRule type="cellIs" dxfId="164" priority="1" operator="between">
      <formula>$Y$6</formula>
      <formula>$Z$6</formula>
    </cfRule>
    <cfRule type="cellIs" dxfId="163" priority="2" operator="between">
      <formula>$Y$7</formula>
      <formula>$Z$7</formula>
    </cfRule>
    <cfRule type="cellIs" dxfId="162" priority="3" operator="between">
      <formula>$Y$8</formula>
      <formula>$Z$8</formula>
    </cfRule>
    <cfRule type="cellIs" dxfId="161" priority="4" operator="between">
      <formula>$Y$9</formula>
      <formula>$Z$9</formula>
    </cfRule>
    <cfRule type="cellIs" dxfId="160" priority="5" operator="between">
      <formula>$Y$10</formula>
      <formula>$Z$10</formula>
    </cfRule>
  </conditionalFormatting>
  <conditionalFormatting sqref="V134">
    <cfRule type="cellIs" dxfId="159" priority="96" operator="between">
      <formula>$Y$6</formula>
      <formula>$Z$6</formula>
    </cfRule>
    <cfRule type="cellIs" dxfId="158" priority="97" operator="between">
      <formula>$Y$7</formula>
      <formula>$Z$7</formula>
    </cfRule>
    <cfRule type="cellIs" dxfId="157" priority="98" operator="between">
      <formula>$Y$8</formula>
      <formula>$Z$8</formula>
    </cfRule>
    <cfRule type="cellIs" dxfId="156" priority="99" operator="between">
      <formula>$Y$9</formula>
      <formula>$Z$9</formula>
    </cfRule>
    <cfRule type="cellIs" dxfId="155" priority="100" operator="between">
      <formula>$Y$10</formula>
      <formula>$Z$10</formula>
    </cfRule>
  </conditionalFormatting>
  <conditionalFormatting sqref="V140">
    <cfRule type="cellIs" dxfId="154" priority="86" operator="between">
      <formula>$Y$6</formula>
      <formula>$Z$6</formula>
    </cfRule>
    <cfRule type="cellIs" dxfId="153" priority="87" operator="between">
      <formula>$Y$7</formula>
      <formula>$Z$7</formula>
    </cfRule>
    <cfRule type="cellIs" dxfId="152" priority="88" operator="between">
      <formula>$Y$8</formula>
      <formula>$Z$8</formula>
    </cfRule>
    <cfRule type="cellIs" dxfId="151" priority="89" operator="between">
      <formula>$Y$9</formula>
      <formula>$Z$9</formula>
    </cfRule>
    <cfRule type="cellIs" dxfId="150" priority="90" operator="between">
      <formula>$Y$10</formula>
      <formula>$Z$10</formula>
    </cfRule>
  </conditionalFormatting>
  <conditionalFormatting sqref="V146">
    <cfRule type="cellIs" dxfId="149" priority="76" operator="between">
      <formula>$Y$6</formula>
      <formula>$Z$6</formula>
    </cfRule>
    <cfRule type="cellIs" dxfId="148" priority="77" operator="between">
      <formula>$Y$7</formula>
      <formula>$Z$7</formula>
    </cfRule>
    <cfRule type="cellIs" dxfId="147" priority="78" operator="between">
      <formula>$Y$8</formula>
      <formula>$Z$8</formula>
    </cfRule>
    <cfRule type="cellIs" dxfId="146" priority="79" operator="between">
      <formula>$Y$9</formula>
      <formula>$Z$9</formula>
    </cfRule>
    <cfRule type="cellIs" dxfId="145" priority="80" operator="between">
      <formula>$Y$10</formula>
      <formula>$Z$10</formula>
    </cfRule>
  </conditionalFormatting>
  <conditionalFormatting sqref="V152">
    <cfRule type="cellIs" dxfId="144" priority="66" operator="between">
      <formula>$Y$6</formula>
      <formula>$Z$6</formula>
    </cfRule>
    <cfRule type="cellIs" dxfId="143" priority="67" operator="between">
      <formula>$Y$7</formula>
      <formula>$Z$7</formula>
    </cfRule>
    <cfRule type="cellIs" dxfId="142" priority="68" operator="between">
      <formula>$Y$8</formula>
      <formula>$Z$8</formula>
    </cfRule>
    <cfRule type="cellIs" dxfId="141" priority="69" operator="between">
      <formula>$Y$9</formula>
      <formula>$Z$9</formula>
    </cfRule>
    <cfRule type="cellIs" dxfId="140" priority="70" operator="between">
      <formula>$Y$10</formula>
      <formula>$Z$10</formula>
    </cfRule>
  </conditionalFormatting>
  <conditionalFormatting sqref="V158">
    <cfRule type="cellIs" dxfId="139" priority="56" operator="between">
      <formula>$Y$6</formula>
      <formula>$Z$6</formula>
    </cfRule>
    <cfRule type="cellIs" dxfId="138" priority="57" operator="between">
      <formula>$Y$7</formula>
      <formula>$Z$7</formula>
    </cfRule>
    <cfRule type="cellIs" dxfId="137" priority="58" operator="between">
      <formula>$Y$8</formula>
      <formula>$Z$8</formula>
    </cfRule>
    <cfRule type="cellIs" dxfId="136" priority="59" operator="between">
      <formula>$Y$9</formula>
      <formula>$Z$9</formula>
    </cfRule>
    <cfRule type="cellIs" dxfId="135" priority="60" operator="between">
      <formula>$Y$10</formula>
      <formula>$Z$10</formula>
    </cfRule>
  </conditionalFormatting>
  <conditionalFormatting sqref="V164">
    <cfRule type="cellIs" dxfId="134" priority="46" operator="between">
      <formula>$Y$6</formula>
      <formula>$Z$6</formula>
    </cfRule>
    <cfRule type="cellIs" dxfId="133" priority="47" operator="between">
      <formula>$Y$7</formula>
      <formula>$Z$7</formula>
    </cfRule>
    <cfRule type="cellIs" dxfId="132" priority="48" operator="between">
      <formula>$Y$8</formula>
      <formula>$Z$8</formula>
    </cfRule>
    <cfRule type="cellIs" dxfId="131" priority="49" operator="between">
      <formula>$Y$9</formula>
      <formula>$Z$9</formula>
    </cfRule>
    <cfRule type="cellIs" dxfId="130" priority="50" operator="between">
      <formula>$Y$10</formula>
      <formula>$Z$10</formula>
    </cfRule>
  </conditionalFormatting>
  <conditionalFormatting sqref="V170">
    <cfRule type="cellIs" dxfId="129" priority="36" operator="between">
      <formula>$Y$6</formula>
      <formula>$Z$6</formula>
    </cfRule>
    <cfRule type="cellIs" dxfId="128" priority="37" operator="between">
      <formula>$Y$7</formula>
      <formula>$Z$7</formula>
    </cfRule>
    <cfRule type="cellIs" dxfId="127" priority="38" operator="between">
      <formula>$Y$8</formula>
      <formula>$Z$8</formula>
    </cfRule>
    <cfRule type="cellIs" dxfId="126" priority="39" operator="between">
      <formula>$Y$9</formula>
      <formula>$Z$9</formula>
    </cfRule>
    <cfRule type="cellIs" dxfId="125" priority="40" operator="between">
      <formula>$Y$10</formula>
      <formula>$Z$10</formula>
    </cfRule>
  </conditionalFormatting>
  <conditionalFormatting sqref="V176">
    <cfRule type="cellIs" dxfId="124" priority="26" operator="between">
      <formula>$Y$6</formula>
      <formula>$Z$6</formula>
    </cfRule>
    <cfRule type="cellIs" dxfId="123" priority="27" operator="between">
      <formula>$Y$7</formula>
      <formula>$Z$7</formula>
    </cfRule>
    <cfRule type="cellIs" dxfId="122" priority="28" operator="between">
      <formula>$Y$8</formula>
      <formula>$Z$8</formula>
    </cfRule>
    <cfRule type="cellIs" dxfId="121" priority="29" operator="between">
      <formula>$Y$9</formula>
      <formula>$Z$9</formula>
    </cfRule>
    <cfRule type="cellIs" dxfId="120" priority="30" operator="between">
      <formula>$Y$10</formula>
      <formula>$Z$10</formula>
    </cfRule>
  </conditionalFormatting>
  <conditionalFormatting sqref="V182">
    <cfRule type="cellIs" dxfId="119" priority="16" operator="between">
      <formula>$Y$6</formula>
      <formula>$Z$6</formula>
    </cfRule>
    <cfRule type="cellIs" dxfId="118" priority="17" operator="between">
      <formula>$Y$7</formula>
      <formula>$Z$7</formula>
    </cfRule>
    <cfRule type="cellIs" dxfId="117" priority="18" operator="between">
      <formula>$Y$8</formula>
      <formula>$Z$8</formula>
    </cfRule>
    <cfRule type="cellIs" dxfId="116" priority="19" operator="between">
      <formula>$Y$9</formula>
      <formula>$Z$9</formula>
    </cfRule>
    <cfRule type="cellIs" dxfId="115" priority="20" operator="between">
      <formula>$Y$10</formula>
      <formula>$Z$10</formula>
    </cfRule>
  </conditionalFormatting>
  <conditionalFormatting sqref="V188">
    <cfRule type="cellIs" dxfId="114" priority="6" operator="between">
      <formula>$Y$6</formula>
      <formula>$Z$6</formula>
    </cfRule>
    <cfRule type="cellIs" dxfId="113" priority="7" operator="between">
      <formula>$Y$7</formula>
      <formula>$Z$7</formula>
    </cfRule>
    <cfRule type="cellIs" dxfId="112" priority="8" operator="between">
      <formula>$Y$8</formula>
      <formula>$Z$8</formula>
    </cfRule>
    <cfRule type="cellIs" dxfId="111" priority="9" operator="between">
      <formula>$Y$9</formula>
      <formula>$Z$9</formula>
    </cfRule>
    <cfRule type="cellIs" dxfId="110" priority="10" operator="between">
      <formula>$Y$10</formula>
      <formula>$Z$10</formula>
    </cfRule>
  </conditionalFormatting>
  <printOptions horizontalCentered="1" verticalCentered="1"/>
  <pageMargins left="0.78740157480314965" right="0.78740157480314965" top="0.78740157480314965" bottom="0.78740157480314965" header="0.39370078740157483" footer="0.39370078740157483"/>
  <pageSetup scale="50" orientation="landscape" r:id="rId1"/>
  <headerFooter alignWithMargins="0">
    <oddHeader>&amp;L&amp;"Arial,Negrita"&amp;12
MAPA DE RIESGOS &amp;"Arial,Normal"
Código: E-FO-017 | Versión: 13 | Fecha: Enero 29 de 2026&amp;"-,Normal"&amp;11
&amp;C&amp;G</oddHeader>
    <oddFooter xml:space="preserve">&amp;L&amp;"Arial,Normal"&amp;12Teléfono: (+57) 601 601 2424 | Línea gratuita: 01 8000 41 37 95 | Código postal: 110221
Dirección: Carrera 10 No. 97A - 13, Torre A, Piso 6 | Bogotá D.C., Colombia 
www.apccolombia.gov.co
Página: &amp;P/&amp;N
&amp;"-,Normal"&amp;11
</oddFooter>
  </headerFooter>
  <rowBreaks count="15" manualBreakCount="15">
    <brk id="19" max="16383" man="1"/>
    <brk id="31" max="16383" man="1"/>
    <brk id="43" max="16383" man="1"/>
    <brk id="55" max="25" man="1"/>
    <brk id="67" max="25" man="1"/>
    <brk id="79" max="25" man="1"/>
    <brk id="91" max="25" man="1"/>
    <brk id="103" max="25" man="1"/>
    <brk id="115" max="25" man="1"/>
    <brk id="127" max="25" man="1"/>
    <brk id="139" max="25" man="1"/>
    <brk id="151" max="25" man="1"/>
    <brk id="163" max="25" man="1"/>
    <brk id="175" max="25" man="1"/>
    <brk id="187" max="25" man="1"/>
  </rowBreaks>
  <colBreaks count="1" manualBreakCount="1">
    <brk id="9" max="192" man="1"/>
  </colBreaks>
  <ignoredErrors>
    <ignoredError sqref="T14 U15:U19" formula="1"/>
  </ignoredErrors>
  <legacyDrawing r:id="rId2"/>
  <legacyDrawingHF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14:formula1>
            <xm:f>'11 FORMULAS'!$B$54:$B$55</xm:f>
          </x14:formula1>
          <xm:sqref>M8:M193</xm:sqref>
        </x14:dataValidation>
        <x14:dataValidation type="list" allowBlank="1" showInputMessage="1" showErrorMessage="1">
          <x14:formula1>
            <xm:f>'11 FORMULAS'!$B$60:$B$63</xm:f>
          </x14:formula1>
          <xm:sqref>O10:O193</xm:sqref>
        </x14:dataValidation>
        <x14:dataValidation type="list" allowBlank="1" showInputMessage="1" showErrorMessage="1">
          <x14:formula1>
            <xm:f>'11 FORMULAS'!$B$70:$B$72</xm:f>
          </x14:formula1>
          <xm:sqref>Q10:Q193</xm:sqref>
        </x14:dataValidation>
        <x14:dataValidation type="list" allowBlank="1" showInputMessage="1" showErrorMessage="1">
          <x14:formula1>
            <xm:f>'11 FORMULAS'!$B$73:$B$75</xm:f>
          </x14:formula1>
          <xm:sqref>R10:R193</xm:sqref>
        </x14:dataValidation>
        <x14:dataValidation type="list" allowBlank="1" showInputMessage="1" showErrorMessage="1">
          <x14:formula1>
            <xm:f>'11 FORMULAS'!$B$64:$B$69</xm:f>
          </x14:formula1>
          <xm:sqref>P10:P193</xm:sqref>
        </x14:dataValidation>
        <x14:dataValidation type="list" allowBlank="1" showInputMessage="1" showErrorMessage="1">
          <x14:formula1>
            <xm:f>'11 FORMULAS'!$B$51:$B$52</xm:f>
          </x14:formula1>
          <xm:sqref>J8:J193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93"/>
  <sheetViews>
    <sheetView showGridLines="0" topLeftCell="A6" zoomScale="50" zoomScaleNormal="50" zoomScaleSheetLayoutView="85" workbookViewId="0">
      <pane xSplit="4" ySplit="2" topLeftCell="E185" activePane="bottomRight" state="frozen"/>
      <selection activeCell="A6" sqref="A6"/>
      <selection pane="topRight" activeCell="E6" sqref="E6"/>
      <selection pane="bottomLeft" activeCell="A8" sqref="A8"/>
      <selection pane="bottomRight" activeCell="A194" sqref="A194"/>
    </sheetView>
  </sheetViews>
  <sheetFormatPr baseColWidth="10" defaultColWidth="11.42578125" defaultRowHeight="15.75" x14ac:dyDescent="0.25"/>
  <cols>
    <col min="1" max="1" width="14.85546875" style="81" customWidth="1"/>
    <col min="2" max="2" width="29.42578125" style="81" bestFit="1" customWidth="1"/>
    <col min="3" max="3" width="15.42578125" style="81" customWidth="1"/>
    <col min="4" max="4" width="14.140625" style="81" customWidth="1"/>
    <col min="5" max="5" width="13" style="81" customWidth="1"/>
    <col min="6" max="6" width="32.140625" style="81" customWidth="1"/>
    <col min="7" max="7" width="21.85546875" style="81" customWidth="1"/>
    <col min="8" max="8" width="39.5703125" style="81" customWidth="1"/>
    <col min="9" max="9" width="42.85546875" style="81" customWidth="1"/>
    <col min="10" max="11" width="12.140625" style="142" hidden="1" customWidth="1"/>
    <col min="12" max="12" width="18.42578125" style="142" hidden="1" customWidth="1"/>
    <col min="13" max="13" width="19.42578125" style="81" hidden="1" customWidth="1"/>
    <col min="14" max="14" width="18.42578125" style="142" hidden="1" customWidth="1"/>
    <col min="15" max="15" width="18.85546875" style="142" hidden="1" customWidth="1"/>
    <col min="16" max="16" width="16.42578125" style="142" hidden="1" customWidth="1"/>
    <col min="17" max="17" width="14.42578125" style="142" hidden="1" customWidth="1"/>
    <col min="18" max="18" width="7.85546875" style="142" hidden="1" customWidth="1"/>
    <col min="19" max="19" width="4.42578125" style="142" hidden="1" customWidth="1"/>
    <col min="20" max="20" width="6.85546875" style="142" hidden="1" customWidth="1"/>
    <col min="21" max="21" width="12.5703125" style="142" hidden="1" customWidth="1"/>
    <col min="22" max="22" width="23" style="108" customWidth="1"/>
    <col min="23" max="23" width="11.42578125" style="81"/>
    <col min="24" max="24" width="21.42578125" style="81" customWidth="1"/>
    <col min="25" max="25" width="7.42578125" style="81" bestFit="1" customWidth="1"/>
    <col min="26" max="26" width="8.42578125" style="81" bestFit="1" customWidth="1"/>
    <col min="27" max="16384" width="11.42578125" style="81"/>
  </cols>
  <sheetData>
    <row r="1" spans="1:26" s="174" customFormat="1" ht="45" customHeight="1" x14ac:dyDescent="0.25">
      <c r="A1" s="77"/>
      <c r="B1" s="255" t="str">
        <f>+'2 CONTEXTO E IDENTIFICACIÓN'!A1</f>
        <v>MAPA DE RIESGOS</v>
      </c>
      <c r="C1" s="78"/>
      <c r="D1" s="79"/>
      <c r="F1" s="84"/>
      <c r="G1" s="256" t="str">
        <f>+'2 CONTEXTO E IDENTIFICACIÓN'!$I$4</f>
        <v>Elaboración o Actualización:</v>
      </c>
      <c r="H1" s="86">
        <f>'2 CONTEXTO E IDENTIFICACIÓN'!J4</f>
        <v>0</v>
      </c>
      <c r="I1" s="80"/>
      <c r="J1" s="80"/>
      <c r="K1" s="80"/>
      <c r="L1" s="257"/>
      <c r="M1" s="258"/>
      <c r="N1" s="257"/>
      <c r="O1" s="257"/>
      <c r="P1" s="257"/>
      <c r="Q1" s="257"/>
      <c r="R1" s="257"/>
      <c r="S1" s="259"/>
      <c r="T1" s="259"/>
      <c r="U1" s="259"/>
      <c r="V1" s="108"/>
      <c r="W1" s="81"/>
      <c r="X1" s="81"/>
      <c r="Y1" s="81"/>
      <c r="Z1" s="81"/>
    </row>
    <row r="2" spans="1:26" s="174" customFormat="1" ht="45" customHeight="1" x14ac:dyDescent="0.25">
      <c r="A2" s="77"/>
      <c r="B2" s="260"/>
      <c r="C2" s="83" t="str">
        <f>+'2 CONTEXTO E IDENTIFICACIÓN'!A2</f>
        <v>VERSIÓN:</v>
      </c>
      <c r="D2" s="83">
        <f>'2 CONTEXTO E IDENTIFICACIÓN'!B2</f>
        <v>1</v>
      </c>
      <c r="G2" s="83" t="str">
        <f>+'2 CONTEXTO E IDENTIFICACIÓN'!$E$5</f>
        <v xml:space="preserve">Vigencia: </v>
      </c>
      <c r="H2" s="86">
        <f>'2 CONTEXTO E IDENTIFICACIÓN'!G5</f>
        <v>46023</v>
      </c>
      <c r="I2" s="94" t="s">
        <v>61</v>
      </c>
      <c r="L2" s="261"/>
      <c r="M2" s="54"/>
      <c r="N2" s="261"/>
      <c r="O2" s="261"/>
      <c r="P2" s="261"/>
      <c r="Q2" s="261"/>
      <c r="R2" s="261"/>
      <c r="S2" s="259"/>
      <c r="T2" s="259"/>
      <c r="U2" s="259"/>
      <c r="V2" s="262"/>
      <c r="W2" s="81"/>
      <c r="X2" s="84"/>
      <c r="Y2" s="84"/>
      <c r="Z2" s="84"/>
    </row>
    <row r="3" spans="1:26" s="174" customFormat="1" ht="16.5" thickBot="1" x14ac:dyDescent="0.3">
      <c r="A3" s="90" t="s">
        <v>55</v>
      </c>
      <c r="B3" s="95" t="str">
        <f>'2 CONTEXTO E IDENTIFICACIÓN'!B4</f>
        <v>AGENCIA PRESIDENCIAL DE COOPERACIÓN INTERNACIONAL DE COLOMBIA APC COLOMBIA</v>
      </c>
      <c r="C3" s="95"/>
      <c r="D3" s="95"/>
      <c r="J3" s="263"/>
      <c r="K3" s="263"/>
      <c r="L3" s="263"/>
      <c r="N3" s="263"/>
      <c r="O3" s="263"/>
      <c r="P3" s="263"/>
      <c r="Q3" s="263"/>
      <c r="R3" s="263"/>
      <c r="S3" s="142"/>
      <c r="T3" s="142"/>
      <c r="U3" s="142"/>
      <c r="V3" s="108"/>
      <c r="W3" s="81"/>
      <c r="X3" s="84"/>
      <c r="Y3" s="84"/>
      <c r="Z3" s="84"/>
    </row>
    <row r="4" spans="1:26" ht="16.5" customHeight="1" x14ac:dyDescent="0.25">
      <c r="A4" s="90" t="s">
        <v>57</v>
      </c>
      <c r="B4" s="95">
        <f>'2 CONTEXTO E IDENTIFICACIÓN'!F4</f>
        <v>0</v>
      </c>
      <c r="C4" s="96"/>
      <c r="D4" s="96"/>
      <c r="E4" s="81" t="s">
        <v>358</v>
      </c>
      <c r="F4" s="54" t="s">
        <v>359</v>
      </c>
      <c r="J4" s="264" t="s">
        <v>450</v>
      </c>
      <c r="K4" s="265"/>
      <c r="L4" s="265"/>
      <c r="M4" s="265"/>
      <c r="N4" s="265"/>
      <c r="O4" s="265"/>
      <c r="P4" s="265"/>
      <c r="Q4" s="265"/>
      <c r="R4" s="266"/>
      <c r="S4" s="267" t="s">
        <v>361</v>
      </c>
      <c r="T4" s="268" t="s">
        <v>451</v>
      </c>
      <c r="U4" s="267"/>
      <c r="V4" s="269" t="s">
        <v>452</v>
      </c>
      <c r="X4" s="59" t="s">
        <v>364</v>
      </c>
      <c r="Y4" s="60"/>
      <c r="Z4" s="61"/>
    </row>
    <row r="5" spans="1:26" ht="33" customHeight="1" x14ac:dyDescent="0.25">
      <c r="A5" s="108"/>
      <c r="B5" s="99"/>
      <c r="C5" s="99"/>
      <c r="D5" s="108"/>
      <c r="J5" s="270"/>
      <c r="K5" s="271"/>
      <c r="L5" s="271"/>
      <c r="M5" s="271"/>
      <c r="N5" s="271"/>
      <c r="O5" s="271"/>
      <c r="P5" s="271"/>
      <c r="Q5" s="271"/>
      <c r="R5" s="272"/>
      <c r="S5" s="273"/>
      <c r="T5" s="274"/>
      <c r="U5" s="273"/>
      <c r="V5" s="275"/>
      <c r="X5" s="62" t="s">
        <v>312</v>
      </c>
      <c r="Y5" s="63" t="s">
        <v>365</v>
      </c>
      <c r="Z5" s="65" t="s">
        <v>366</v>
      </c>
    </row>
    <row r="6" spans="1:26" ht="29.25" customHeight="1" x14ac:dyDescent="0.25">
      <c r="A6" s="170" t="s">
        <v>306</v>
      </c>
      <c r="B6" s="170" t="s">
        <v>307</v>
      </c>
      <c r="C6" s="170" t="s">
        <v>367</v>
      </c>
      <c r="D6" s="170" t="s">
        <v>368</v>
      </c>
      <c r="E6" s="162" t="s">
        <v>369</v>
      </c>
      <c r="F6" s="160" t="s">
        <v>36</v>
      </c>
      <c r="G6" s="161"/>
      <c r="H6" s="161"/>
      <c r="I6" s="162"/>
      <c r="J6" s="276" t="s">
        <v>370</v>
      </c>
      <c r="K6" s="276"/>
      <c r="L6" s="276"/>
      <c r="M6" s="276"/>
      <c r="N6" s="277"/>
      <c r="O6" s="278" t="s">
        <v>453</v>
      </c>
      <c r="P6" s="276"/>
      <c r="Q6" s="276"/>
      <c r="R6" s="277"/>
      <c r="S6" s="279"/>
      <c r="T6" s="280"/>
      <c r="U6" s="279"/>
      <c r="V6" s="281"/>
      <c r="X6" s="66" t="s">
        <v>321</v>
      </c>
      <c r="Y6" s="70">
        <v>0.01</v>
      </c>
      <c r="Z6" s="69">
        <v>0.2</v>
      </c>
    </row>
    <row r="7" spans="1:26" ht="205.5" thickBot="1" x14ac:dyDescent="0.3">
      <c r="A7" s="282"/>
      <c r="B7" s="282"/>
      <c r="C7" s="282"/>
      <c r="D7" s="282"/>
      <c r="E7" s="266"/>
      <c r="F7" s="283" t="s">
        <v>372</v>
      </c>
      <c r="G7" s="283" t="s">
        <v>373</v>
      </c>
      <c r="H7" s="283" t="s">
        <v>374</v>
      </c>
      <c r="I7" s="283" t="s">
        <v>375</v>
      </c>
      <c r="J7" s="283" t="s">
        <v>454</v>
      </c>
      <c r="K7" s="284" t="s">
        <v>39</v>
      </c>
      <c r="L7" s="284" t="s">
        <v>41</v>
      </c>
      <c r="M7" s="283" t="s">
        <v>42</v>
      </c>
      <c r="N7" s="284" t="s">
        <v>44</v>
      </c>
      <c r="O7" s="284" t="s">
        <v>189</v>
      </c>
      <c r="P7" s="284" t="s">
        <v>190</v>
      </c>
      <c r="Q7" s="284" t="s">
        <v>377</v>
      </c>
      <c r="R7" s="284" t="s">
        <v>378</v>
      </c>
      <c r="S7" s="284" t="s">
        <v>455</v>
      </c>
      <c r="T7" s="284" t="s">
        <v>456</v>
      </c>
      <c r="U7" s="284" t="s">
        <v>457</v>
      </c>
      <c r="V7" s="285" t="s">
        <v>458</v>
      </c>
      <c r="X7" s="72" t="s">
        <v>326</v>
      </c>
      <c r="Y7" s="70">
        <v>0.21</v>
      </c>
      <c r="Z7" s="69">
        <v>0.4</v>
      </c>
    </row>
    <row r="8" spans="1:26" ht="44.25" customHeight="1" thickBot="1" x14ac:dyDescent="0.3">
      <c r="A8" s="228" t="str">
        <f>'2 CONTEXTO E IDENTIFICACIÓN'!A9</f>
        <v>R1</v>
      </c>
      <c r="B8" s="175" t="str">
        <f>+'2 CONTEXTO E IDENTIFICACIÓN'!J9</f>
        <v>Posibilidad de afectación reputacional por queja, reclamo o llamado de atención interno o externo. a causa de debido a un seguimiento inoportuno a la planeación institucional.</v>
      </c>
      <c r="C8" s="229">
        <f>+'3 PROBABIL E IMPACTO INHERENTE'!E9</f>
        <v>0.6</v>
      </c>
      <c r="D8" s="230">
        <f>+'3 PROBABIL E IMPACTO INHERENTE'!M9</f>
        <v>0.6</v>
      </c>
      <c r="E8" s="172">
        <v>1</v>
      </c>
      <c r="F8" s="286" t="s">
        <v>383</v>
      </c>
      <c r="G8" s="287" t="s">
        <v>384</v>
      </c>
      <c r="H8" s="287" t="s">
        <v>385</v>
      </c>
      <c r="I8" s="172" t="str">
        <f t="shared" ref="I8:I71" si="0">+CONCATENATE(F8," ",G8," ",H8)</f>
        <v>El asesor(a) con funciones de  coordinación del grupo interno de trabajo de planeación. Emitir y/o socializar lineamientos para el seguimiento oportuno de la planeación institucional de la Agencia.  Realiza mesas de trabajo, informa a  los comites, comunica a los responsable, teniendo en cuenta directrices de gobierno, sector, alta dirección de la Agencia, solicitudes de los procesos de la Agencia, situaciones, alertas.</v>
      </c>
      <c r="J8" s="288"/>
      <c r="K8" s="289"/>
      <c r="L8" s="289"/>
      <c r="M8" s="290"/>
      <c r="N8" s="289"/>
      <c r="O8" s="291"/>
      <c r="P8" s="291"/>
      <c r="Q8" s="291"/>
      <c r="R8" s="291"/>
      <c r="S8" s="289"/>
      <c r="T8" s="289"/>
      <c r="U8" s="289"/>
      <c r="V8" s="234">
        <f>+'3 PROBABIL E IMPACTO INHERENTE'!M9</f>
        <v>0.6</v>
      </c>
      <c r="X8" s="74" t="s">
        <v>330</v>
      </c>
      <c r="Y8" s="70">
        <v>0.41</v>
      </c>
      <c r="Z8" s="69">
        <v>0.6</v>
      </c>
    </row>
    <row r="9" spans="1:26" ht="44.25" customHeight="1" x14ac:dyDescent="0.25">
      <c r="A9" s="235"/>
      <c r="B9" s="180"/>
      <c r="C9" s="236"/>
      <c r="D9" s="237"/>
      <c r="E9" s="172">
        <v>2</v>
      </c>
      <c r="F9" s="286" t="s">
        <v>383</v>
      </c>
      <c r="G9" s="149" t="s">
        <v>386</v>
      </c>
      <c r="H9" s="149" t="s">
        <v>387</v>
      </c>
      <c r="I9" s="172" t="str">
        <f t="shared" si="0"/>
        <v>El asesor(a) con funciones de  coordinación del grupo interno de trabajo de planeación. Efectuar seguimiento oportuno y articulado a la planeacion institucional, con base en los lineamientos establecidos para el esquema de las líneas de defensa de la Agencia. Solicita información o documentos para el seguimiento periódico o realiza mesas de trabajo con el esquema de las líneas de defensa para acompañar o asesorar y plantear los correctivos a que haya lugar frente a la ejecución de la planeación institucional.</v>
      </c>
      <c r="J9" s="288"/>
      <c r="K9" s="289"/>
      <c r="L9" s="289"/>
      <c r="M9" s="290"/>
      <c r="N9" s="289"/>
      <c r="O9" s="291"/>
      <c r="P9" s="291"/>
      <c r="Q9" s="291"/>
      <c r="R9" s="291"/>
      <c r="S9" s="289"/>
      <c r="T9" s="289"/>
      <c r="U9" s="289"/>
      <c r="V9" s="238"/>
      <c r="X9" s="75" t="s">
        <v>334</v>
      </c>
      <c r="Y9" s="70">
        <v>0.61</v>
      </c>
      <c r="Z9" s="69">
        <v>0.8</v>
      </c>
    </row>
    <row r="10" spans="1:26" ht="44.25" customHeight="1" x14ac:dyDescent="0.25">
      <c r="A10" s="235"/>
      <c r="B10" s="180"/>
      <c r="C10" s="236"/>
      <c r="D10" s="237"/>
      <c r="E10" s="172">
        <v>3</v>
      </c>
      <c r="F10" s="292"/>
      <c r="G10" s="149"/>
      <c r="H10" s="149"/>
      <c r="I10" s="172" t="str">
        <f t="shared" si="0"/>
        <v xml:space="preserve">  </v>
      </c>
      <c r="J10" s="288"/>
      <c r="K10" s="289" t="str">
        <f>+IFERROR(VLOOKUP($J10,'11 FORMULAS'!$B$53:$C$53,2,0),"")</f>
        <v/>
      </c>
      <c r="L10" s="289" t="str">
        <f t="shared" ref="L10:L72" si="1">+IF(J10="Correctivo","Impacto","")</f>
        <v/>
      </c>
      <c r="M10" s="290"/>
      <c r="N10" s="289" t="str">
        <f>+IFERROR(VLOOKUP($M10,'11 FORMULAS'!$B$54:$C$55,2,0),"")</f>
        <v/>
      </c>
      <c r="O10" s="291"/>
      <c r="P10" s="291"/>
      <c r="Q10" s="291"/>
      <c r="R10" s="291"/>
      <c r="S10" s="289" t="str">
        <f>+IFERROR($K10+$N10,"")</f>
        <v/>
      </c>
      <c r="T10" s="289" t="str">
        <f>+IFERROR(U9*S10,"")</f>
        <v/>
      </c>
      <c r="U10" s="289" t="str">
        <f>+IFERROR(U9-T10,"")</f>
        <v/>
      </c>
      <c r="V10" s="238"/>
      <c r="X10" s="76" t="s">
        <v>339</v>
      </c>
      <c r="Y10" s="70">
        <v>0.81</v>
      </c>
      <c r="Z10" s="69">
        <v>1</v>
      </c>
    </row>
    <row r="11" spans="1:26" ht="44.25" customHeight="1" x14ac:dyDescent="0.25">
      <c r="A11" s="235"/>
      <c r="B11" s="180"/>
      <c r="C11" s="236"/>
      <c r="D11" s="237"/>
      <c r="E11" s="172">
        <v>4</v>
      </c>
      <c r="F11" s="292"/>
      <c r="G11" s="149"/>
      <c r="H11" s="149"/>
      <c r="I11" s="172" t="str">
        <f t="shared" si="0"/>
        <v xml:space="preserve">  </v>
      </c>
      <c r="J11" s="288"/>
      <c r="K11" s="289" t="str">
        <f>+IFERROR(VLOOKUP($J11,'11 FORMULAS'!$B$53:$C$53,2,0),"")</f>
        <v/>
      </c>
      <c r="L11" s="289" t="str">
        <f t="shared" si="1"/>
        <v/>
      </c>
      <c r="M11" s="290"/>
      <c r="N11" s="289" t="str">
        <f>+IFERROR(VLOOKUP($M11,'11 FORMULAS'!$B$54:$C$55,2,0),"")</f>
        <v/>
      </c>
      <c r="O11" s="291"/>
      <c r="P11" s="291"/>
      <c r="Q11" s="291"/>
      <c r="R11" s="291"/>
      <c r="S11" s="289" t="str">
        <f t="shared" ref="S11:S72" si="2">+IFERROR($K11+$N11,"")</f>
        <v/>
      </c>
      <c r="T11" s="289" t="str">
        <f>+IFERROR(U10*S11,"")</f>
        <v/>
      </c>
      <c r="U11" s="289" t="str">
        <f>+IFERROR(U10-T11,"")</f>
        <v/>
      </c>
      <c r="V11" s="238"/>
      <c r="X11" s="239"/>
      <c r="Y11" s="239"/>
      <c r="Z11" s="239"/>
    </row>
    <row r="12" spans="1:26" ht="44.25" customHeight="1" x14ac:dyDescent="0.25">
      <c r="A12" s="235"/>
      <c r="B12" s="180"/>
      <c r="C12" s="236"/>
      <c r="D12" s="237"/>
      <c r="E12" s="172">
        <v>5</v>
      </c>
      <c r="F12" s="292"/>
      <c r="G12" s="149"/>
      <c r="H12" s="149"/>
      <c r="I12" s="172" t="str">
        <f t="shared" si="0"/>
        <v xml:space="preserve">  </v>
      </c>
      <c r="J12" s="288"/>
      <c r="K12" s="289" t="str">
        <f>+IFERROR(VLOOKUP($J12,'11 FORMULAS'!$B$53:$C$53,2,0),"")</f>
        <v/>
      </c>
      <c r="L12" s="289" t="str">
        <f t="shared" si="1"/>
        <v/>
      </c>
      <c r="M12" s="290"/>
      <c r="N12" s="289" t="str">
        <f>+IFERROR(VLOOKUP($M12,'11 FORMULAS'!$B$54:$C$55,2,0),"")</f>
        <v/>
      </c>
      <c r="O12" s="291"/>
      <c r="P12" s="291"/>
      <c r="Q12" s="291"/>
      <c r="R12" s="291"/>
      <c r="S12" s="289" t="str">
        <f t="shared" si="2"/>
        <v/>
      </c>
      <c r="T12" s="289" t="str">
        <f>+IFERROR(U11*S12,"")</f>
        <v/>
      </c>
      <c r="U12" s="289" t="str">
        <f>+IFERROR(U11-T12,"")</f>
        <v/>
      </c>
      <c r="V12" s="238"/>
      <c r="X12" s="239"/>
      <c r="Y12" s="239"/>
      <c r="Z12" s="239"/>
    </row>
    <row r="13" spans="1:26" ht="44.25" customHeight="1" thickBot="1" x14ac:dyDescent="0.3">
      <c r="A13" s="240"/>
      <c r="B13" s="182"/>
      <c r="C13" s="241"/>
      <c r="D13" s="242"/>
      <c r="E13" s="131">
        <v>6</v>
      </c>
      <c r="F13" s="293"/>
      <c r="G13" s="294"/>
      <c r="H13" s="294"/>
      <c r="I13" s="172" t="str">
        <f t="shared" si="0"/>
        <v xml:space="preserve">  </v>
      </c>
      <c r="J13" s="288"/>
      <c r="K13" s="289" t="str">
        <f>+IFERROR(VLOOKUP($J13,'11 FORMULAS'!$B$53:$C$53,2,0),"")</f>
        <v/>
      </c>
      <c r="L13" s="289" t="str">
        <f t="shared" si="1"/>
        <v/>
      </c>
      <c r="M13" s="290"/>
      <c r="N13" s="289" t="str">
        <f>+IFERROR(VLOOKUP($M13,'11 FORMULAS'!$B$54:$C$55,2,0),"")</f>
        <v/>
      </c>
      <c r="O13" s="291"/>
      <c r="P13" s="291"/>
      <c r="Q13" s="291"/>
      <c r="R13" s="291"/>
      <c r="S13" s="289" t="str">
        <f t="shared" si="2"/>
        <v/>
      </c>
      <c r="T13" s="289" t="str">
        <f>+IFERROR(U12*S13,"")</f>
        <v/>
      </c>
      <c r="U13" s="289" t="str">
        <f>+IFERROR(U12-T13,"")</f>
        <v/>
      </c>
      <c r="V13" s="244"/>
      <c r="X13" s="239"/>
      <c r="Y13" s="239"/>
      <c r="Z13" s="239"/>
    </row>
    <row r="14" spans="1:26" ht="44.25" customHeight="1" x14ac:dyDescent="0.25">
      <c r="A14" s="228" t="str">
        <f>'2 CONTEXTO E IDENTIFICACIÓN'!A10</f>
        <v>R2</v>
      </c>
      <c r="B14" s="175" t="str">
        <f>+'2 CONTEXTO E IDENTIFICACIÓN'!J10</f>
        <v>Posibilidad  de efecto dañoso sobre el recurso público por    la generación de intereses moratorios en las planillas de seguridad social a causa de     no reporte de novedades dentro de los plazos establecidos</v>
      </c>
      <c r="C14" s="245">
        <f>+'3 PROBABIL E IMPACTO INHERENTE'!E10</f>
        <v>0.4</v>
      </c>
      <c r="D14" s="230">
        <f>+'3 PROBABIL E IMPACTO INHERENTE'!M10</f>
        <v>0.2</v>
      </c>
      <c r="E14" s="295">
        <v>1</v>
      </c>
      <c r="F14" s="286" t="s">
        <v>388</v>
      </c>
      <c r="G14" s="287" t="s">
        <v>389</v>
      </c>
      <c r="H14" s="287" t="s">
        <v>390</v>
      </c>
      <c r="I14" s="172" t="str">
        <f t="shared" si="0"/>
        <v>Coordinador del Grupo Interno de trabajo de Talento Humano Revisar a  los conceptos liquidados en la nómina o de liquidaciones finales y de los actos administrativos. Si se identifican diferencias en los conceptos liquidados en la nómina o de liquidaciones finales, devolverá al profesional de nómina para su verificación y ajuste correspondiente.  para el caso de los actos administrativos se ajusta con otro acto administrativo.</v>
      </c>
      <c r="J14" s="288"/>
      <c r="K14" s="289" t="str">
        <f>+IFERROR(VLOOKUP($J14,'11 FORMULAS'!$B$53:$C$53,2,0),"")</f>
        <v/>
      </c>
      <c r="L14" s="289" t="str">
        <f t="shared" si="1"/>
        <v/>
      </c>
      <c r="M14" s="290"/>
      <c r="N14" s="289" t="str">
        <f>+IFERROR(VLOOKUP($M14,'11 FORMULAS'!$B$54:$C$55,2,0),"")</f>
        <v/>
      </c>
      <c r="O14" s="291"/>
      <c r="P14" s="291"/>
      <c r="Q14" s="291"/>
      <c r="R14" s="291"/>
      <c r="S14" s="289" t="str">
        <f t="shared" si="2"/>
        <v/>
      </c>
      <c r="T14" s="289" t="str">
        <f>+IFERROR(D14*S14,"")</f>
        <v/>
      </c>
      <c r="U14" s="289" t="str">
        <f>+IFERROR(D14-T14,"")</f>
        <v/>
      </c>
      <c r="V14" s="234">
        <f>+'3 PROBABIL E IMPACTO INHERENTE'!M10</f>
        <v>0.2</v>
      </c>
      <c r="X14" s="239"/>
      <c r="Y14" s="247"/>
      <c r="Z14" s="247"/>
    </row>
    <row r="15" spans="1:26" ht="44.25" customHeight="1" x14ac:dyDescent="0.25">
      <c r="A15" s="235"/>
      <c r="B15" s="180"/>
      <c r="C15" s="248"/>
      <c r="D15" s="237"/>
      <c r="E15" s="172">
        <v>2</v>
      </c>
      <c r="F15" s="292" t="s">
        <v>388</v>
      </c>
      <c r="G15" s="149" t="s">
        <v>391</v>
      </c>
      <c r="H15" s="149" t="s">
        <v>392</v>
      </c>
      <c r="I15" s="172" t="str">
        <f t="shared" si="0"/>
        <v>Coordinador del Grupo Interno de trabajo de Talento Humano Hará validaciones a los conceptos liquidados en la nómina o de liquidaciones finales y de los actos administrativos. Cuando se identifican errores en el cálculo  en los conceptos liquidados en la nómina o de liquidaciones finales,  se informa a través de correo electrónico la novedad presentada al proceso de Gestión de Tecnologías de la Información (TI), quien documentará el caso al proveedor. Una vez solucionado el caso, el proceso de TI comunica a Talento Humano para revisión y verificación. Este hará los respectivos análisis, para continuar con la gestión.
Para el caso de los actos administrativos se ajusta con otro acto administrativo</v>
      </c>
      <c r="J15" s="288"/>
      <c r="K15" s="289" t="str">
        <f>+IFERROR(VLOOKUP($J15,'11 FORMULAS'!$B$53:$C$53,2,0),"")</f>
        <v/>
      </c>
      <c r="L15" s="289" t="str">
        <f t="shared" si="1"/>
        <v/>
      </c>
      <c r="M15" s="290"/>
      <c r="N15" s="289" t="str">
        <f>+IFERROR(VLOOKUP($M15,'11 FORMULAS'!$B$54:$C$55,2,0),"")</f>
        <v/>
      </c>
      <c r="O15" s="291"/>
      <c r="P15" s="291"/>
      <c r="Q15" s="291"/>
      <c r="R15" s="291"/>
      <c r="S15" s="289" t="str">
        <f t="shared" si="2"/>
        <v/>
      </c>
      <c r="T15" s="289" t="str">
        <f>+IFERROR(U14*S15,"")</f>
        <v/>
      </c>
      <c r="U15" s="289" t="str">
        <f>+IFERROR(U14-T15,"")</f>
        <v/>
      </c>
      <c r="V15" s="238"/>
      <c r="X15" s="239"/>
      <c r="Y15" s="247"/>
      <c r="Z15" s="247"/>
    </row>
    <row r="16" spans="1:26" ht="44.25" customHeight="1" x14ac:dyDescent="0.25">
      <c r="A16" s="235"/>
      <c r="B16" s="180"/>
      <c r="C16" s="248"/>
      <c r="D16" s="237"/>
      <c r="E16" s="172">
        <v>3</v>
      </c>
      <c r="F16" s="292"/>
      <c r="G16" s="149"/>
      <c r="H16" s="149"/>
      <c r="I16" s="172" t="str">
        <f t="shared" si="0"/>
        <v xml:space="preserve">  </v>
      </c>
      <c r="J16" s="288"/>
      <c r="K16" s="289" t="str">
        <f>+IFERROR(VLOOKUP($J16,'11 FORMULAS'!$B$53:$C$53,2,0),"")</f>
        <v/>
      </c>
      <c r="L16" s="289" t="str">
        <f t="shared" si="1"/>
        <v/>
      </c>
      <c r="M16" s="290"/>
      <c r="N16" s="289" t="str">
        <f>+IFERROR(VLOOKUP($M16,'11 FORMULAS'!$B$54:$C$55,2,0),"")</f>
        <v/>
      </c>
      <c r="O16" s="291"/>
      <c r="P16" s="291"/>
      <c r="Q16" s="291"/>
      <c r="R16" s="291"/>
      <c r="S16" s="289" t="str">
        <f t="shared" si="2"/>
        <v/>
      </c>
      <c r="T16" s="289" t="str">
        <f>+IFERROR(U15*S16,"")</f>
        <v/>
      </c>
      <c r="U16" s="289" t="str">
        <f>+IFERROR(U15-T16,"")</f>
        <v/>
      </c>
      <c r="V16" s="238"/>
      <c r="X16" s="239"/>
      <c r="Y16" s="247"/>
      <c r="Z16" s="247"/>
    </row>
    <row r="17" spans="1:26" ht="44.25" customHeight="1" x14ac:dyDescent="0.25">
      <c r="A17" s="249"/>
      <c r="B17" s="185"/>
      <c r="C17" s="248"/>
      <c r="D17" s="250"/>
      <c r="E17" s="172">
        <v>4</v>
      </c>
      <c r="F17" s="296"/>
      <c r="G17" s="297"/>
      <c r="H17" s="297"/>
      <c r="I17" s="172" t="str">
        <f t="shared" si="0"/>
        <v xml:space="preserve">  </v>
      </c>
      <c r="J17" s="288"/>
      <c r="K17" s="289" t="str">
        <f>+IFERROR(VLOOKUP($J17,'11 FORMULAS'!$B$53:$C$53,2,0),"")</f>
        <v/>
      </c>
      <c r="L17" s="289" t="str">
        <f t="shared" si="1"/>
        <v/>
      </c>
      <c r="M17" s="290"/>
      <c r="N17" s="289" t="str">
        <f>+IFERROR(VLOOKUP($M17,'11 FORMULAS'!$B$54:$C$55,2,0),"")</f>
        <v/>
      </c>
      <c r="O17" s="291"/>
      <c r="P17" s="291"/>
      <c r="Q17" s="291"/>
      <c r="R17" s="291"/>
      <c r="S17" s="289" t="str">
        <f t="shared" si="2"/>
        <v/>
      </c>
      <c r="T17" s="289" t="str">
        <f>+IFERROR(U16*S17,"")</f>
        <v/>
      </c>
      <c r="U17" s="289" t="str">
        <f>+IFERROR(U16-T17,"")</f>
        <v/>
      </c>
      <c r="V17" s="238"/>
      <c r="X17" s="239"/>
      <c r="Y17" s="247"/>
      <c r="Z17" s="247"/>
    </row>
    <row r="18" spans="1:26" ht="44.25" customHeight="1" x14ac:dyDescent="0.25">
      <c r="A18" s="249"/>
      <c r="B18" s="185"/>
      <c r="C18" s="248"/>
      <c r="D18" s="250"/>
      <c r="E18" s="172">
        <v>5</v>
      </c>
      <c r="F18" s="296"/>
      <c r="G18" s="297"/>
      <c r="H18" s="297"/>
      <c r="I18" s="172" t="str">
        <f t="shared" si="0"/>
        <v xml:space="preserve">  </v>
      </c>
      <c r="J18" s="288"/>
      <c r="K18" s="289" t="str">
        <f>+IFERROR(VLOOKUP($J18,'11 FORMULAS'!$B$53:$C$53,2,0),"")</f>
        <v/>
      </c>
      <c r="L18" s="289" t="str">
        <f t="shared" si="1"/>
        <v/>
      </c>
      <c r="M18" s="290"/>
      <c r="N18" s="289" t="str">
        <f>+IFERROR(VLOOKUP($M18,'11 FORMULAS'!$B$54:$C$55,2,0),"")</f>
        <v/>
      </c>
      <c r="O18" s="291"/>
      <c r="P18" s="291"/>
      <c r="Q18" s="291"/>
      <c r="R18" s="291"/>
      <c r="S18" s="289" t="str">
        <f t="shared" si="2"/>
        <v/>
      </c>
      <c r="T18" s="289" t="str">
        <f>+IFERROR(U17*S18,"")</f>
        <v/>
      </c>
      <c r="U18" s="289" t="str">
        <f>+IFERROR(U17-T18,"")</f>
        <v/>
      </c>
      <c r="V18" s="238"/>
      <c r="X18" s="239"/>
      <c r="Y18" s="247"/>
      <c r="Z18" s="247"/>
    </row>
    <row r="19" spans="1:26" ht="44.25" customHeight="1" thickBot="1" x14ac:dyDescent="0.3">
      <c r="A19" s="240"/>
      <c r="B19" s="182"/>
      <c r="C19" s="251"/>
      <c r="D19" s="242"/>
      <c r="E19" s="131">
        <v>6</v>
      </c>
      <c r="F19" s="293"/>
      <c r="G19" s="294"/>
      <c r="H19" s="294"/>
      <c r="I19" s="172" t="str">
        <f t="shared" si="0"/>
        <v xml:space="preserve">  </v>
      </c>
      <c r="J19" s="288"/>
      <c r="K19" s="289" t="str">
        <f>+IFERROR(VLOOKUP($J19,'11 FORMULAS'!$B$53:$C$53,2,0),"")</f>
        <v/>
      </c>
      <c r="L19" s="289" t="str">
        <f t="shared" si="1"/>
        <v/>
      </c>
      <c r="M19" s="290"/>
      <c r="N19" s="289" t="str">
        <f>+IFERROR(VLOOKUP($M19,'11 FORMULAS'!$B$54:$C$55,2,0),"")</f>
        <v/>
      </c>
      <c r="O19" s="291"/>
      <c r="P19" s="291"/>
      <c r="Q19" s="291"/>
      <c r="R19" s="291"/>
      <c r="S19" s="289" t="str">
        <f t="shared" si="2"/>
        <v/>
      </c>
      <c r="T19" s="289" t="str">
        <f>+IFERROR(U18*S19,"")</f>
        <v/>
      </c>
      <c r="U19" s="289" t="str">
        <f>+IFERROR(U18-T19,"")</f>
        <v/>
      </c>
      <c r="V19" s="244"/>
    </row>
    <row r="20" spans="1:26" ht="44.25" customHeight="1" x14ac:dyDescent="0.25">
      <c r="A20" s="228" t="str">
        <f>'2 CONTEXTO E IDENTIFICACIÓN'!A11</f>
        <v>R3</v>
      </c>
      <c r="B20" s="175" t="str">
        <f>+'2 CONTEXTO E IDENTIFICACIÓN'!J11</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C20" s="229">
        <f>+'3 PROBABIL E IMPACTO INHERENTE'!E11</f>
        <v>0.6</v>
      </c>
      <c r="D20" s="230">
        <f>+'3 PROBABIL E IMPACTO INHERENTE'!M11</f>
        <v>0.4</v>
      </c>
      <c r="E20" s="295">
        <v>1</v>
      </c>
      <c r="F20" s="286" t="s">
        <v>393</v>
      </c>
      <c r="G20" s="287" t="s">
        <v>394</v>
      </c>
      <c r="H20" s="287" t="s">
        <v>395</v>
      </c>
      <c r="I20" s="172" t="str">
        <f t="shared" si="0"/>
        <v>El(la) coordinador(a) del grupo interno de trabajo de gestión contractual y el equipo de trabajo. Gestionar la capacitación a los estructuradores de procesos contractuales en matriz de riesgos y garantías Cuando aplique se realiza ajustes necesarios frente a los temas a capacitar y/o reprograma la capacitación.</v>
      </c>
      <c r="J20" s="288"/>
      <c r="K20" s="289" t="str">
        <f>+IFERROR(VLOOKUP($J20,'11 FORMULAS'!$B$53:$C$53,2,0),"")</f>
        <v/>
      </c>
      <c r="L20" s="289" t="str">
        <f t="shared" si="1"/>
        <v/>
      </c>
      <c r="M20" s="290"/>
      <c r="N20" s="289" t="str">
        <f>+IFERROR(VLOOKUP($M20,'11 FORMULAS'!$B$54:$C$55,2,0),"")</f>
        <v/>
      </c>
      <c r="O20" s="291"/>
      <c r="P20" s="291"/>
      <c r="Q20" s="291"/>
      <c r="R20" s="291"/>
      <c r="S20" s="289" t="str">
        <f t="shared" si="2"/>
        <v/>
      </c>
      <c r="T20" s="289" t="str">
        <f t="shared" ref="T20:T51" si="3">+IFERROR(D20*S20,"")</f>
        <v/>
      </c>
      <c r="U20" s="289" t="str">
        <f t="shared" ref="U20:U51" si="4">+IFERROR(D20-T20,"")</f>
        <v/>
      </c>
      <c r="V20" s="234">
        <f>+'3 PROBABIL E IMPACTO INHERENTE'!M11</f>
        <v>0.4</v>
      </c>
      <c r="X20" s="239"/>
      <c r="Y20" s="247"/>
      <c r="Z20" s="247"/>
    </row>
    <row r="21" spans="1:26" ht="44.25" customHeight="1" x14ac:dyDescent="0.25">
      <c r="A21" s="235"/>
      <c r="B21" s="180"/>
      <c r="C21" s="236"/>
      <c r="D21" s="237"/>
      <c r="E21" s="172">
        <v>2</v>
      </c>
      <c r="F21" s="292" t="s">
        <v>393</v>
      </c>
      <c r="G21" s="149" t="s">
        <v>396</v>
      </c>
      <c r="H21" s="149" t="s">
        <v>397</v>
      </c>
      <c r="I21" s="172" t="str">
        <f t="shared" si="0"/>
        <v xml:space="preserve">El(la) coordinador(a) del grupo interno de trabajo de gestión contractual y el equipo de trabajo. Revisar juridicamente los estudios previos y la documentación acorde a cada modalidad contractual. Devuelve al solicitante para ajustes y/o correcciones de los estudios previos y la documentación acorde. </v>
      </c>
      <c r="J21" s="288"/>
      <c r="K21" s="289" t="str">
        <f>+IFERROR(VLOOKUP($J21,'11 FORMULAS'!$B$53:$C$53,2,0),"")</f>
        <v/>
      </c>
      <c r="L21" s="289" t="str">
        <f t="shared" si="1"/>
        <v/>
      </c>
      <c r="M21" s="290"/>
      <c r="N21" s="289" t="str">
        <f>+IFERROR(VLOOKUP($M21,'11 FORMULAS'!$B$54:$C$55,2,0),"")</f>
        <v/>
      </c>
      <c r="O21" s="291"/>
      <c r="P21" s="291"/>
      <c r="Q21" s="291"/>
      <c r="R21" s="291"/>
      <c r="S21" s="289" t="str">
        <f t="shared" si="2"/>
        <v/>
      </c>
      <c r="T21" s="289" t="str">
        <f t="shared" si="3"/>
        <v/>
      </c>
      <c r="U21" s="289" t="str">
        <f t="shared" si="4"/>
        <v/>
      </c>
      <c r="V21" s="238"/>
      <c r="X21" s="239"/>
      <c r="Y21" s="247"/>
      <c r="Z21" s="247"/>
    </row>
    <row r="22" spans="1:26" ht="44.25" customHeight="1" x14ac:dyDescent="0.25">
      <c r="A22" s="235"/>
      <c r="B22" s="180"/>
      <c r="C22" s="236"/>
      <c r="D22" s="237"/>
      <c r="E22" s="172">
        <v>3</v>
      </c>
      <c r="F22" s="292" t="s">
        <v>393</v>
      </c>
      <c r="G22" s="149" t="s">
        <v>398</v>
      </c>
      <c r="H22" s="149" t="s">
        <v>399</v>
      </c>
      <c r="I22" s="172" t="str">
        <f t="shared" si="0"/>
        <v xml:space="preserve">El(la) coordinador(a) del grupo interno de trabajo de gestión contractual y el equipo de trabajo. Imprimir las garantías y las adjuntan al expediente físico contractual con el pantallazo de aprobación en SECOP II. Devuelve al solicitante para ajustes y/o correcciones de las grarantías.  </v>
      </c>
      <c r="J22" s="288"/>
      <c r="K22" s="289" t="str">
        <f>+IFERROR(VLOOKUP($J22,'11 FORMULAS'!$B$53:$C$53,2,0),"")</f>
        <v/>
      </c>
      <c r="L22" s="289" t="str">
        <f t="shared" si="1"/>
        <v/>
      </c>
      <c r="M22" s="290"/>
      <c r="N22" s="289" t="str">
        <f>+IFERROR(VLOOKUP($M22,'11 FORMULAS'!$B$54:$C$55,2,0),"")</f>
        <v/>
      </c>
      <c r="O22" s="291"/>
      <c r="P22" s="291"/>
      <c r="Q22" s="291"/>
      <c r="R22" s="291"/>
      <c r="S22" s="289" t="str">
        <f t="shared" si="2"/>
        <v/>
      </c>
      <c r="T22" s="289" t="str">
        <f t="shared" si="3"/>
        <v/>
      </c>
      <c r="U22" s="289" t="str">
        <f t="shared" si="4"/>
        <v/>
      </c>
      <c r="V22" s="238"/>
      <c r="X22" s="239"/>
      <c r="Y22" s="247"/>
      <c r="Z22" s="247"/>
    </row>
    <row r="23" spans="1:26" ht="44.25" customHeight="1" x14ac:dyDescent="0.25">
      <c r="A23" s="235"/>
      <c r="B23" s="180"/>
      <c r="C23" s="236"/>
      <c r="D23" s="237"/>
      <c r="E23" s="172">
        <v>4</v>
      </c>
      <c r="F23" s="292" t="s">
        <v>393</v>
      </c>
      <c r="G23" s="149" t="s">
        <v>400</v>
      </c>
      <c r="H23" s="149" t="s">
        <v>401</v>
      </c>
      <c r="I23" s="172" t="str">
        <f t="shared" si="0"/>
        <v>El(la) coordinador(a) del grupo interno de trabajo de gestión contractual y el equipo de trabajo. Verificar la expedición del registro presupuestal. Devuelve al solicitante para ajustes y/o correcciones de los regsistros presupuestales.</v>
      </c>
      <c r="J23" s="288"/>
      <c r="K23" s="289" t="str">
        <f>+IFERROR(VLOOKUP($J23,'11 FORMULAS'!$B$53:$C$53,2,0),"")</f>
        <v/>
      </c>
      <c r="L23" s="289" t="str">
        <f t="shared" si="1"/>
        <v/>
      </c>
      <c r="M23" s="290"/>
      <c r="N23" s="289" t="str">
        <f>+IFERROR(VLOOKUP($M23,'11 FORMULAS'!$B$54:$C$55,2,0),"")</f>
        <v/>
      </c>
      <c r="O23" s="291"/>
      <c r="P23" s="291"/>
      <c r="Q23" s="291"/>
      <c r="R23" s="291"/>
      <c r="S23" s="289" t="str">
        <f t="shared" si="2"/>
        <v/>
      </c>
      <c r="T23" s="289" t="str">
        <f t="shared" si="3"/>
        <v/>
      </c>
      <c r="U23" s="289" t="str">
        <f t="shared" si="4"/>
        <v/>
      </c>
      <c r="V23" s="238"/>
      <c r="X23" s="239"/>
      <c r="Y23" s="247"/>
      <c r="Z23" s="247"/>
    </row>
    <row r="24" spans="1:26" ht="44.25" customHeight="1" x14ac:dyDescent="0.25">
      <c r="A24" s="235"/>
      <c r="B24" s="180"/>
      <c r="C24" s="236"/>
      <c r="D24" s="237"/>
      <c r="E24" s="172">
        <v>5</v>
      </c>
      <c r="F24" s="292" t="s">
        <v>393</v>
      </c>
      <c r="G24" s="149" t="s">
        <v>402</v>
      </c>
      <c r="H24" s="149"/>
      <c r="I24" s="172" t="str">
        <f t="shared" si="0"/>
        <v xml:space="preserve">El(la) coordinador(a) del grupo interno de trabajo de gestión contractual y el equipo de trabajo. Convocar a comités de Contratación,
Velar para que las actuaciones de quienes intervengan en el desarrollo de la actividad contractual de la Entidad, se realicen conforme a los principios de transparencia, economía, responsabilidad y a los postulados de la función administrativa, tal como lo ordenan las normas vigentes. </v>
      </c>
      <c r="J24" s="288"/>
      <c r="K24" s="289" t="str">
        <f>+IFERROR(VLOOKUP($J24,'11 FORMULAS'!$B$53:$C$53,2,0),"")</f>
        <v/>
      </c>
      <c r="L24" s="289" t="str">
        <f t="shared" si="1"/>
        <v/>
      </c>
      <c r="M24" s="290"/>
      <c r="N24" s="289" t="str">
        <f>+IFERROR(VLOOKUP($M24,'11 FORMULAS'!$B$54:$C$55,2,0),"")</f>
        <v/>
      </c>
      <c r="O24" s="291"/>
      <c r="P24" s="291"/>
      <c r="Q24" s="291"/>
      <c r="R24" s="291"/>
      <c r="S24" s="289" t="str">
        <f t="shared" si="2"/>
        <v/>
      </c>
      <c r="T24" s="289" t="str">
        <f t="shared" si="3"/>
        <v/>
      </c>
      <c r="U24" s="289" t="str">
        <f t="shared" si="4"/>
        <v/>
      </c>
      <c r="V24" s="238"/>
      <c r="X24" s="239"/>
      <c r="Y24" s="247"/>
      <c r="Z24" s="247"/>
    </row>
    <row r="25" spans="1:26" ht="44.25" customHeight="1" thickBot="1" x14ac:dyDescent="0.3">
      <c r="A25" s="240"/>
      <c r="B25" s="182"/>
      <c r="C25" s="241"/>
      <c r="D25" s="242"/>
      <c r="E25" s="131">
        <v>6</v>
      </c>
      <c r="F25" s="293"/>
      <c r="G25" s="294"/>
      <c r="H25" s="294"/>
      <c r="I25" s="172" t="str">
        <f t="shared" si="0"/>
        <v xml:space="preserve">  </v>
      </c>
      <c r="J25" s="288"/>
      <c r="K25" s="289" t="str">
        <f>+IFERROR(VLOOKUP($J25,'11 FORMULAS'!$B$53:$C$53,2,0),"")</f>
        <v/>
      </c>
      <c r="L25" s="289" t="str">
        <f t="shared" si="1"/>
        <v/>
      </c>
      <c r="M25" s="290"/>
      <c r="N25" s="289" t="str">
        <f>+IFERROR(VLOOKUP($M25,'11 FORMULAS'!$B$54:$C$55,2,0),"")</f>
        <v/>
      </c>
      <c r="O25" s="291"/>
      <c r="P25" s="291"/>
      <c r="Q25" s="291"/>
      <c r="R25" s="291"/>
      <c r="S25" s="289" t="str">
        <f t="shared" si="2"/>
        <v/>
      </c>
      <c r="T25" s="289" t="str">
        <f t="shared" si="3"/>
        <v/>
      </c>
      <c r="U25" s="289" t="str">
        <f t="shared" si="4"/>
        <v/>
      </c>
      <c r="V25" s="244"/>
    </row>
    <row r="26" spans="1:26" ht="44.25" customHeight="1" x14ac:dyDescent="0.25">
      <c r="A26" s="228" t="str">
        <f>'2 CONTEXTO E IDENTIFICACIÓN'!A12</f>
        <v>R4</v>
      </c>
      <c r="B26" s="175" t="str">
        <f>+'2 CONTEXTO E IDENTIFICACIÓN'!J12</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26" s="229">
        <f>+'3 PROBABIL E IMPACTO INHERENTE'!E12</f>
        <v>0.6</v>
      </c>
      <c r="D26" s="230">
        <f>+'3 PROBABIL E IMPACTO INHERENTE'!M12</f>
        <v>0.6</v>
      </c>
      <c r="E26" s="295">
        <v>1</v>
      </c>
      <c r="F26" s="286" t="s">
        <v>393</v>
      </c>
      <c r="G26" s="287" t="s">
        <v>403</v>
      </c>
      <c r="H26" s="287" t="s">
        <v>404</v>
      </c>
      <c r="I26" s="172" t="str">
        <f t="shared" si="0"/>
        <v>El(la) coordinador(a) del grupo interno de trabajo de gestión contractual y el equipo de trabajo. Velar porque los actos administrativos que se expidan a través del proceso Gestión contractual de la Agencia, se ajusten a la normatividad legal vigente. identificarse alguna novedad en el acto administrativo, informar al superior jerárquico y corregir o derogar el acto administrativo en cuestión.</v>
      </c>
      <c r="J26" s="288"/>
      <c r="K26" s="289" t="str">
        <f>+IFERROR(VLOOKUP($J26,'11 FORMULAS'!$B$53:$C$53,2,0),"")</f>
        <v/>
      </c>
      <c r="L26" s="289" t="str">
        <f t="shared" si="1"/>
        <v/>
      </c>
      <c r="M26" s="290"/>
      <c r="N26" s="289" t="str">
        <f>+IFERROR(VLOOKUP($M26,'11 FORMULAS'!$B$54:$C$55,2,0),"")</f>
        <v/>
      </c>
      <c r="O26" s="291"/>
      <c r="P26" s="291"/>
      <c r="Q26" s="291"/>
      <c r="R26" s="291"/>
      <c r="S26" s="289" t="str">
        <f t="shared" si="2"/>
        <v/>
      </c>
      <c r="T26" s="289" t="str">
        <f t="shared" si="3"/>
        <v/>
      </c>
      <c r="U26" s="289" t="str">
        <f t="shared" si="4"/>
        <v/>
      </c>
      <c r="V26" s="234">
        <f>+'3 PROBABIL E IMPACTO INHERENTE'!M12</f>
        <v>0.6</v>
      </c>
      <c r="X26" s="239"/>
      <c r="Y26" s="247"/>
      <c r="Z26" s="247"/>
    </row>
    <row r="27" spans="1:26" ht="44.25" customHeight="1" x14ac:dyDescent="0.25">
      <c r="A27" s="235"/>
      <c r="B27" s="180"/>
      <c r="C27" s="236"/>
      <c r="D27" s="237"/>
      <c r="E27" s="172">
        <v>2</v>
      </c>
      <c r="F27" s="292"/>
      <c r="G27" s="149"/>
      <c r="H27" s="149"/>
      <c r="I27" s="172" t="str">
        <f t="shared" si="0"/>
        <v xml:space="preserve">  </v>
      </c>
      <c r="J27" s="288"/>
      <c r="K27" s="289" t="str">
        <f>+IFERROR(VLOOKUP($J27,'11 FORMULAS'!$B$53:$C$53,2,0),"")</f>
        <v/>
      </c>
      <c r="L27" s="289" t="str">
        <f t="shared" si="1"/>
        <v/>
      </c>
      <c r="M27" s="290"/>
      <c r="N27" s="289" t="str">
        <f>+IFERROR(VLOOKUP($M27,'11 FORMULAS'!$B$54:$C$55,2,0),"")</f>
        <v/>
      </c>
      <c r="O27" s="291"/>
      <c r="P27" s="291"/>
      <c r="Q27" s="291"/>
      <c r="R27" s="291"/>
      <c r="S27" s="289" t="str">
        <f t="shared" si="2"/>
        <v/>
      </c>
      <c r="T27" s="289" t="str">
        <f t="shared" si="3"/>
        <v/>
      </c>
      <c r="U27" s="289" t="str">
        <f t="shared" si="4"/>
        <v/>
      </c>
      <c r="V27" s="238"/>
      <c r="X27" s="239"/>
      <c r="Y27" s="247"/>
      <c r="Z27" s="247"/>
    </row>
    <row r="28" spans="1:26" ht="44.25" customHeight="1" x14ac:dyDescent="0.25">
      <c r="A28" s="235"/>
      <c r="B28" s="180"/>
      <c r="C28" s="236"/>
      <c r="D28" s="237"/>
      <c r="E28" s="172">
        <v>3</v>
      </c>
      <c r="F28" s="292"/>
      <c r="G28" s="149"/>
      <c r="H28" s="149"/>
      <c r="I28" s="172" t="str">
        <f t="shared" si="0"/>
        <v xml:space="preserve">  </v>
      </c>
      <c r="J28" s="288"/>
      <c r="K28" s="289" t="str">
        <f>+IFERROR(VLOOKUP($J28,'11 FORMULAS'!$B$53:$C$53,2,0),"")</f>
        <v/>
      </c>
      <c r="L28" s="289" t="str">
        <f t="shared" si="1"/>
        <v/>
      </c>
      <c r="M28" s="290"/>
      <c r="N28" s="289" t="str">
        <f>+IFERROR(VLOOKUP($M28,'11 FORMULAS'!$B$54:$C$55,2,0),"")</f>
        <v/>
      </c>
      <c r="O28" s="291"/>
      <c r="P28" s="291"/>
      <c r="Q28" s="291"/>
      <c r="R28" s="291"/>
      <c r="S28" s="289" t="str">
        <f t="shared" si="2"/>
        <v/>
      </c>
      <c r="T28" s="289" t="str">
        <f t="shared" si="3"/>
        <v/>
      </c>
      <c r="U28" s="289" t="str">
        <f t="shared" si="4"/>
        <v/>
      </c>
      <c r="V28" s="238"/>
      <c r="X28" s="239"/>
      <c r="Y28" s="247"/>
      <c r="Z28" s="247"/>
    </row>
    <row r="29" spans="1:26" ht="44.25" customHeight="1" x14ac:dyDescent="0.25">
      <c r="A29" s="235"/>
      <c r="B29" s="180"/>
      <c r="C29" s="236"/>
      <c r="D29" s="237"/>
      <c r="E29" s="172">
        <v>4</v>
      </c>
      <c r="F29" s="292"/>
      <c r="G29" s="149"/>
      <c r="H29" s="149"/>
      <c r="I29" s="172" t="str">
        <f t="shared" si="0"/>
        <v xml:space="preserve">  </v>
      </c>
      <c r="J29" s="288"/>
      <c r="K29" s="289" t="str">
        <f>+IFERROR(VLOOKUP($J29,'11 FORMULAS'!$B$53:$C$53,2,0),"")</f>
        <v/>
      </c>
      <c r="L29" s="289" t="str">
        <f t="shared" si="1"/>
        <v/>
      </c>
      <c r="M29" s="290"/>
      <c r="N29" s="289" t="str">
        <f>+IFERROR(VLOOKUP($M29,'11 FORMULAS'!$B$54:$C$55,2,0),"")</f>
        <v/>
      </c>
      <c r="O29" s="291"/>
      <c r="P29" s="291"/>
      <c r="Q29" s="291"/>
      <c r="R29" s="291"/>
      <c r="S29" s="289" t="str">
        <f t="shared" si="2"/>
        <v/>
      </c>
      <c r="T29" s="289" t="str">
        <f t="shared" si="3"/>
        <v/>
      </c>
      <c r="U29" s="289" t="str">
        <f t="shared" si="4"/>
        <v/>
      </c>
      <c r="V29" s="238"/>
      <c r="X29" s="239"/>
      <c r="Y29" s="247"/>
      <c r="Z29" s="247"/>
    </row>
    <row r="30" spans="1:26" ht="44.25" customHeight="1" x14ac:dyDescent="0.25">
      <c r="A30" s="235"/>
      <c r="B30" s="180"/>
      <c r="C30" s="236"/>
      <c r="D30" s="237"/>
      <c r="E30" s="172">
        <v>5</v>
      </c>
      <c r="F30" s="292"/>
      <c r="G30" s="149"/>
      <c r="H30" s="149"/>
      <c r="I30" s="172" t="str">
        <f t="shared" si="0"/>
        <v xml:space="preserve">  </v>
      </c>
      <c r="J30" s="288"/>
      <c r="K30" s="289" t="str">
        <f>+IFERROR(VLOOKUP($J30,'11 FORMULAS'!$B$53:$C$53,2,0),"")</f>
        <v/>
      </c>
      <c r="L30" s="289" t="str">
        <f t="shared" si="1"/>
        <v/>
      </c>
      <c r="M30" s="290"/>
      <c r="N30" s="289" t="str">
        <f>+IFERROR(VLOOKUP($M30,'11 FORMULAS'!$B$54:$C$55,2,0),"")</f>
        <v/>
      </c>
      <c r="O30" s="291"/>
      <c r="P30" s="291"/>
      <c r="Q30" s="291"/>
      <c r="R30" s="291"/>
      <c r="S30" s="289" t="str">
        <f t="shared" si="2"/>
        <v/>
      </c>
      <c r="T30" s="289" t="str">
        <f t="shared" si="3"/>
        <v/>
      </c>
      <c r="U30" s="289" t="str">
        <f t="shared" si="4"/>
        <v/>
      </c>
      <c r="V30" s="238"/>
      <c r="X30" s="239"/>
      <c r="Y30" s="247"/>
      <c r="Z30" s="247"/>
    </row>
    <row r="31" spans="1:26" ht="44.25" customHeight="1" thickBot="1" x14ac:dyDescent="0.3">
      <c r="A31" s="240"/>
      <c r="B31" s="182"/>
      <c r="C31" s="241"/>
      <c r="D31" s="242"/>
      <c r="E31" s="131">
        <v>6</v>
      </c>
      <c r="F31" s="293"/>
      <c r="G31" s="294"/>
      <c r="H31" s="294"/>
      <c r="I31" s="172" t="str">
        <f t="shared" si="0"/>
        <v xml:space="preserve">  </v>
      </c>
      <c r="J31" s="288"/>
      <c r="K31" s="289" t="str">
        <f>+IFERROR(VLOOKUP($J31,'11 FORMULAS'!$B$53:$C$53,2,0),"")</f>
        <v/>
      </c>
      <c r="L31" s="289" t="str">
        <f t="shared" si="1"/>
        <v/>
      </c>
      <c r="M31" s="290"/>
      <c r="N31" s="289" t="str">
        <f>+IFERROR(VLOOKUP($M31,'11 FORMULAS'!$B$54:$C$55,2,0),"")</f>
        <v/>
      </c>
      <c r="O31" s="291"/>
      <c r="P31" s="291"/>
      <c r="Q31" s="291"/>
      <c r="R31" s="291"/>
      <c r="S31" s="289" t="str">
        <f t="shared" si="2"/>
        <v/>
      </c>
      <c r="T31" s="289" t="str">
        <f t="shared" si="3"/>
        <v/>
      </c>
      <c r="U31" s="289" t="str">
        <f t="shared" si="4"/>
        <v/>
      </c>
      <c r="V31" s="244"/>
    </row>
    <row r="32" spans="1:26" ht="44.25" customHeight="1" x14ac:dyDescent="0.25">
      <c r="A32" s="228" t="str">
        <f>'2 CONTEXTO E IDENTIFICACIÓN'!A13</f>
        <v>R5</v>
      </c>
      <c r="B32" s="175" t="str">
        <f>+'2 CONTEXTO E IDENTIFICACIÓN'!J13</f>
        <v>Posibilidad de afectación reputacional por pérdida de credibilidad en el ejercicio auditor. a causa de  de emitir conclusiones, recomendaciones, hallazgos erróneos u omisiones en las actividades de auditoría interna.</v>
      </c>
      <c r="C32" s="229">
        <f>+'3 PROBABIL E IMPACTO INHERENTE'!E13</f>
        <v>0.6</v>
      </c>
      <c r="D32" s="230">
        <f>+'3 PROBABIL E IMPACTO INHERENTE'!M13</f>
        <v>0.6</v>
      </c>
      <c r="E32" s="295">
        <v>1</v>
      </c>
      <c r="F32" s="286" t="s">
        <v>405</v>
      </c>
      <c r="G32" s="287" t="s">
        <v>406</v>
      </c>
      <c r="H32" s="287" t="s">
        <v>407</v>
      </c>
      <c r="I32" s="172" t="str">
        <f t="shared" si="0"/>
        <v xml:space="preserve">El(la) asesor(a) con funciones de control interno y el equipo auditor. Verificar que en la planeación de la auditoría e informes de ley, el objetivo, alcance y criterios contribuyan a la mejora del desempeño institucional. Se analiza la causa del incumplimiento y se reprograma, en el caso de auditorías, se solicita modificación del plan anual de auditoría ante el Comité institucional de coordinación de control interno. Se solicita al responsable de la auditoría o informe de ley mediante comunicación los ajustes que sean requweridos por el asesor con funciones de control interno. </v>
      </c>
      <c r="J32" s="288"/>
      <c r="K32" s="289" t="str">
        <f>+IFERROR(VLOOKUP($J32,'11 FORMULAS'!$B$53:$C$53,2,0),"")</f>
        <v/>
      </c>
      <c r="L32" s="289" t="str">
        <f t="shared" si="1"/>
        <v/>
      </c>
      <c r="M32" s="290"/>
      <c r="N32" s="289" t="str">
        <f>+IFERROR(VLOOKUP($M32,'11 FORMULAS'!$B$54:$C$55,2,0),"")</f>
        <v/>
      </c>
      <c r="O32" s="291"/>
      <c r="P32" s="291"/>
      <c r="Q32" s="291"/>
      <c r="R32" s="291"/>
      <c r="S32" s="289" t="str">
        <f t="shared" si="2"/>
        <v/>
      </c>
      <c r="T32" s="289" t="str">
        <f t="shared" si="3"/>
        <v/>
      </c>
      <c r="U32" s="289" t="str">
        <f t="shared" si="4"/>
        <v/>
      </c>
      <c r="V32" s="234">
        <f>+'3 PROBABIL E IMPACTO INHERENTE'!M13</f>
        <v>0.6</v>
      </c>
      <c r="X32" s="239"/>
      <c r="Y32" s="247"/>
      <c r="Z32" s="247"/>
    </row>
    <row r="33" spans="1:26" ht="44.25" customHeight="1" x14ac:dyDescent="0.25">
      <c r="A33" s="252"/>
      <c r="B33" s="188"/>
      <c r="C33" s="253"/>
      <c r="D33" s="254"/>
      <c r="E33" s="172">
        <v>2</v>
      </c>
      <c r="F33" s="298"/>
      <c r="G33" s="299"/>
      <c r="H33" s="299"/>
      <c r="I33" s="172" t="str">
        <f t="shared" si="0"/>
        <v xml:space="preserve">  </v>
      </c>
      <c r="J33" s="288"/>
      <c r="K33" s="289" t="str">
        <f>+IFERROR(VLOOKUP($J33,'11 FORMULAS'!$B$53:$C$53,2,0),"")</f>
        <v/>
      </c>
      <c r="L33" s="289" t="str">
        <f t="shared" si="1"/>
        <v/>
      </c>
      <c r="M33" s="290"/>
      <c r="N33" s="289" t="str">
        <f>+IFERROR(VLOOKUP($M33,'11 FORMULAS'!$B$54:$C$55,2,0),"")</f>
        <v/>
      </c>
      <c r="O33" s="291"/>
      <c r="P33" s="291"/>
      <c r="Q33" s="291"/>
      <c r="R33" s="291"/>
      <c r="S33" s="289" t="str">
        <f t="shared" si="2"/>
        <v/>
      </c>
      <c r="T33" s="289" t="str">
        <f t="shared" si="3"/>
        <v/>
      </c>
      <c r="U33" s="289" t="str">
        <f t="shared" si="4"/>
        <v/>
      </c>
      <c r="V33" s="238"/>
      <c r="X33" s="239"/>
      <c r="Y33" s="247"/>
      <c r="Z33" s="247"/>
    </row>
    <row r="34" spans="1:26" ht="44.25" customHeight="1" x14ac:dyDescent="0.25">
      <c r="A34" s="252"/>
      <c r="B34" s="188"/>
      <c r="C34" s="253"/>
      <c r="D34" s="254"/>
      <c r="E34" s="172">
        <v>3</v>
      </c>
      <c r="F34" s="298"/>
      <c r="G34" s="299"/>
      <c r="H34" s="299"/>
      <c r="I34" s="172" t="str">
        <f t="shared" si="0"/>
        <v xml:space="preserve">  </v>
      </c>
      <c r="J34" s="288"/>
      <c r="K34" s="289" t="str">
        <f>+IFERROR(VLOOKUP($J34,'11 FORMULAS'!$B$53:$C$53,2,0),"")</f>
        <v/>
      </c>
      <c r="L34" s="289" t="str">
        <f t="shared" si="1"/>
        <v/>
      </c>
      <c r="M34" s="290"/>
      <c r="N34" s="289" t="str">
        <f>+IFERROR(VLOOKUP($M34,'11 FORMULAS'!$B$54:$C$55,2,0),"")</f>
        <v/>
      </c>
      <c r="O34" s="291"/>
      <c r="P34" s="291"/>
      <c r="Q34" s="291"/>
      <c r="R34" s="291"/>
      <c r="S34" s="289" t="str">
        <f t="shared" si="2"/>
        <v/>
      </c>
      <c r="T34" s="289" t="str">
        <f t="shared" si="3"/>
        <v/>
      </c>
      <c r="U34" s="289" t="str">
        <f t="shared" si="4"/>
        <v/>
      </c>
      <c r="V34" s="238"/>
      <c r="X34" s="239"/>
      <c r="Y34" s="247"/>
      <c r="Z34" s="247"/>
    </row>
    <row r="35" spans="1:26" ht="44.25" customHeight="1" x14ac:dyDescent="0.25">
      <c r="A35" s="235"/>
      <c r="B35" s="180"/>
      <c r="C35" s="236"/>
      <c r="D35" s="237"/>
      <c r="E35" s="172">
        <v>4</v>
      </c>
      <c r="F35" s="292"/>
      <c r="G35" s="149"/>
      <c r="H35" s="149"/>
      <c r="I35" s="172" t="str">
        <f t="shared" si="0"/>
        <v xml:space="preserve">  </v>
      </c>
      <c r="J35" s="288"/>
      <c r="K35" s="289" t="str">
        <f>+IFERROR(VLOOKUP($J35,'11 FORMULAS'!$B$53:$C$53,2,0),"")</f>
        <v/>
      </c>
      <c r="L35" s="289" t="str">
        <f t="shared" si="1"/>
        <v/>
      </c>
      <c r="M35" s="290"/>
      <c r="N35" s="289" t="str">
        <f>+IFERROR(VLOOKUP($M35,'11 FORMULAS'!$B$54:$C$55,2,0),"")</f>
        <v/>
      </c>
      <c r="O35" s="291"/>
      <c r="P35" s="291"/>
      <c r="Q35" s="291"/>
      <c r="R35" s="291"/>
      <c r="S35" s="289" t="str">
        <f t="shared" si="2"/>
        <v/>
      </c>
      <c r="T35" s="289" t="str">
        <f t="shared" si="3"/>
        <v/>
      </c>
      <c r="U35" s="289" t="str">
        <f t="shared" si="4"/>
        <v/>
      </c>
      <c r="V35" s="238"/>
      <c r="X35" s="239"/>
      <c r="Y35" s="247"/>
      <c r="Z35" s="247"/>
    </row>
    <row r="36" spans="1:26" ht="44.25" customHeight="1" x14ac:dyDescent="0.25">
      <c r="A36" s="235"/>
      <c r="B36" s="180"/>
      <c r="C36" s="236"/>
      <c r="D36" s="237"/>
      <c r="E36" s="172">
        <v>5</v>
      </c>
      <c r="F36" s="292"/>
      <c r="G36" s="149"/>
      <c r="H36" s="149"/>
      <c r="I36" s="172" t="str">
        <f t="shared" si="0"/>
        <v xml:space="preserve">  </v>
      </c>
      <c r="J36" s="288"/>
      <c r="K36" s="289" t="str">
        <f>+IFERROR(VLOOKUP($J36,'11 FORMULAS'!$B$53:$C$53,2,0),"")</f>
        <v/>
      </c>
      <c r="L36" s="289" t="str">
        <f t="shared" si="1"/>
        <v/>
      </c>
      <c r="M36" s="290"/>
      <c r="N36" s="289" t="str">
        <f>+IFERROR(VLOOKUP($M36,'11 FORMULAS'!$B$54:$C$55,2,0),"")</f>
        <v/>
      </c>
      <c r="O36" s="291"/>
      <c r="P36" s="291"/>
      <c r="Q36" s="291"/>
      <c r="R36" s="291"/>
      <c r="S36" s="289" t="str">
        <f t="shared" si="2"/>
        <v/>
      </c>
      <c r="T36" s="289" t="str">
        <f t="shared" si="3"/>
        <v/>
      </c>
      <c r="U36" s="289" t="str">
        <f t="shared" si="4"/>
        <v/>
      </c>
      <c r="V36" s="238"/>
      <c r="X36" s="239"/>
      <c r="Y36" s="247"/>
      <c r="Z36" s="247"/>
    </row>
    <row r="37" spans="1:26" ht="44.25" customHeight="1" thickBot="1" x14ac:dyDescent="0.3">
      <c r="A37" s="240"/>
      <c r="B37" s="182"/>
      <c r="C37" s="241"/>
      <c r="D37" s="242"/>
      <c r="E37" s="172">
        <v>6</v>
      </c>
      <c r="F37" s="293"/>
      <c r="G37" s="294"/>
      <c r="H37" s="294"/>
      <c r="I37" s="172" t="str">
        <f t="shared" si="0"/>
        <v xml:space="preserve">  </v>
      </c>
      <c r="J37" s="288"/>
      <c r="K37" s="289" t="str">
        <f>+IFERROR(VLOOKUP($J37,'11 FORMULAS'!$B$53:$C$53,2,0),"")</f>
        <v/>
      </c>
      <c r="L37" s="289" t="str">
        <f t="shared" si="1"/>
        <v/>
      </c>
      <c r="M37" s="290"/>
      <c r="N37" s="289" t="str">
        <f>+IFERROR(VLOOKUP($M37,'11 FORMULAS'!$B$54:$C$55,2,0),"")</f>
        <v/>
      </c>
      <c r="O37" s="291"/>
      <c r="P37" s="291"/>
      <c r="Q37" s="291"/>
      <c r="R37" s="291"/>
      <c r="S37" s="289" t="str">
        <f t="shared" si="2"/>
        <v/>
      </c>
      <c r="T37" s="289" t="str">
        <f t="shared" si="3"/>
        <v/>
      </c>
      <c r="U37" s="289" t="str">
        <f t="shared" si="4"/>
        <v/>
      </c>
      <c r="V37" s="244"/>
    </row>
    <row r="38" spans="1:26" ht="44.25" customHeight="1" x14ac:dyDescent="0.25">
      <c r="A38" s="228" t="str">
        <f>'2 CONTEXTO E IDENTIFICACIÓN'!A14</f>
        <v>R6</v>
      </c>
      <c r="B38" s="175" t="str">
        <f>+'2 CONTEXTO E IDENTIFICACIÓN'!J14</f>
        <v>Posibilidad de afectación reputacional por la veracidad de la información a difundir. a causa de que las direcciones / dependencias entregan información parcial o sin confirmar y fuera de tiempos.</v>
      </c>
      <c r="C38" s="229">
        <f>+'3 PROBABIL E IMPACTO INHERENTE'!E14</f>
        <v>0.6</v>
      </c>
      <c r="D38" s="230">
        <f>+'3 PROBABIL E IMPACTO INHERENTE'!M14</f>
        <v>0.6</v>
      </c>
      <c r="E38" s="172">
        <v>1</v>
      </c>
      <c r="F38" s="286" t="s">
        <v>408</v>
      </c>
      <c r="G38" s="287" t="s">
        <v>409</v>
      </c>
      <c r="H38" s="287" t="s">
        <v>410</v>
      </c>
      <c r="I38" s="172" t="str">
        <f t="shared" si="0"/>
        <v>Responsable: El(la) asesor(a) de gestión de comunicaciones. Liderar el Comité Editorial en el que los integrantes del equipo son enlace para cada Dirección de la Agencia. Asimismo, se cuenta con el formato E-FO 053 que debe ser diligenciado por todos los procesos en el momento se solicitar el apoyo a Comunicaciones. Cuando aplique se realiza ajustes necesarios en la respectiva difusión.</v>
      </c>
      <c r="J38" s="288"/>
      <c r="K38" s="289" t="str">
        <f>+IFERROR(VLOOKUP($J38,'11 FORMULAS'!$B$53:$C$53,2,0),"")</f>
        <v/>
      </c>
      <c r="L38" s="289" t="str">
        <f t="shared" si="1"/>
        <v/>
      </c>
      <c r="M38" s="290"/>
      <c r="N38" s="289" t="str">
        <f>+IFERROR(VLOOKUP($M38,'11 FORMULAS'!$B$54:$C$55,2,0),"")</f>
        <v/>
      </c>
      <c r="O38" s="291"/>
      <c r="P38" s="291"/>
      <c r="Q38" s="291"/>
      <c r="R38" s="291"/>
      <c r="S38" s="289" t="str">
        <f t="shared" si="2"/>
        <v/>
      </c>
      <c r="T38" s="289" t="str">
        <f t="shared" si="3"/>
        <v/>
      </c>
      <c r="U38" s="289" t="str">
        <f t="shared" si="4"/>
        <v/>
      </c>
      <c r="V38" s="234">
        <f>+'3 PROBABIL E IMPACTO INHERENTE'!M14</f>
        <v>0.6</v>
      </c>
      <c r="X38" s="239"/>
      <c r="Y38" s="247"/>
      <c r="Z38" s="247"/>
    </row>
    <row r="39" spans="1:26" ht="44.25" customHeight="1" x14ac:dyDescent="0.25">
      <c r="A39" s="252"/>
      <c r="B39" s="188"/>
      <c r="C39" s="253"/>
      <c r="D39" s="254"/>
      <c r="E39" s="172">
        <v>2</v>
      </c>
      <c r="F39" s="298"/>
      <c r="G39" s="299"/>
      <c r="H39" s="299"/>
      <c r="I39" s="172" t="str">
        <f t="shared" si="0"/>
        <v xml:space="preserve">  </v>
      </c>
      <c r="J39" s="288"/>
      <c r="K39" s="289" t="str">
        <f>+IFERROR(VLOOKUP($J39,'11 FORMULAS'!$B$53:$C$53,2,0),"")</f>
        <v/>
      </c>
      <c r="L39" s="289" t="str">
        <f t="shared" si="1"/>
        <v/>
      </c>
      <c r="M39" s="290"/>
      <c r="N39" s="289" t="str">
        <f>+IFERROR(VLOOKUP($M39,'11 FORMULAS'!$B$54:$C$55,2,0),"")</f>
        <v/>
      </c>
      <c r="O39" s="291"/>
      <c r="P39" s="291"/>
      <c r="Q39" s="291"/>
      <c r="R39" s="291"/>
      <c r="S39" s="289" t="str">
        <f t="shared" si="2"/>
        <v/>
      </c>
      <c r="T39" s="289" t="str">
        <f t="shared" si="3"/>
        <v/>
      </c>
      <c r="U39" s="289" t="str">
        <f t="shared" si="4"/>
        <v/>
      </c>
      <c r="V39" s="238"/>
      <c r="X39" s="239"/>
      <c r="Y39" s="247"/>
      <c r="Z39" s="247"/>
    </row>
    <row r="40" spans="1:26" ht="44.25" customHeight="1" x14ac:dyDescent="0.25">
      <c r="A40" s="252"/>
      <c r="B40" s="188"/>
      <c r="C40" s="253"/>
      <c r="D40" s="254"/>
      <c r="E40" s="172">
        <v>3</v>
      </c>
      <c r="F40" s="298"/>
      <c r="G40" s="299"/>
      <c r="H40" s="299"/>
      <c r="I40" s="172" t="str">
        <f t="shared" si="0"/>
        <v xml:space="preserve">  </v>
      </c>
      <c r="J40" s="288"/>
      <c r="K40" s="289" t="str">
        <f>+IFERROR(VLOOKUP($J40,'11 FORMULAS'!$B$53:$C$53,2,0),"")</f>
        <v/>
      </c>
      <c r="L40" s="289" t="str">
        <f t="shared" si="1"/>
        <v/>
      </c>
      <c r="M40" s="290"/>
      <c r="N40" s="289" t="str">
        <f>+IFERROR(VLOOKUP($M40,'11 FORMULAS'!$B$54:$C$55,2,0),"")</f>
        <v/>
      </c>
      <c r="O40" s="291"/>
      <c r="P40" s="291"/>
      <c r="Q40" s="291"/>
      <c r="R40" s="291"/>
      <c r="S40" s="289" t="str">
        <f t="shared" si="2"/>
        <v/>
      </c>
      <c r="T40" s="289" t="str">
        <f t="shared" si="3"/>
        <v/>
      </c>
      <c r="U40" s="289" t="str">
        <f t="shared" si="4"/>
        <v/>
      </c>
      <c r="V40" s="238"/>
      <c r="X40" s="239"/>
      <c r="Y40" s="247"/>
      <c r="Z40" s="247"/>
    </row>
    <row r="41" spans="1:26" ht="44.25" customHeight="1" x14ac:dyDescent="0.25">
      <c r="A41" s="235"/>
      <c r="B41" s="180"/>
      <c r="C41" s="236"/>
      <c r="D41" s="237"/>
      <c r="E41" s="172">
        <v>4</v>
      </c>
      <c r="F41" s="292"/>
      <c r="G41" s="149"/>
      <c r="H41" s="149"/>
      <c r="I41" s="172" t="str">
        <f t="shared" si="0"/>
        <v xml:space="preserve">  </v>
      </c>
      <c r="J41" s="288"/>
      <c r="K41" s="289" t="str">
        <f>+IFERROR(VLOOKUP($J41,'11 FORMULAS'!$B$53:$C$53,2,0),"")</f>
        <v/>
      </c>
      <c r="L41" s="289" t="str">
        <f t="shared" si="1"/>
        <v/>
      </c>
      <c r="M41" s="290"/>
      <c r="N41" s="289" t="str">
        <f>+IFERROR(VLOOKUP($M41,'11 FORMULAS'!$B$54:$C$55,2,0),"")</f>
        <v/>
      </c>
      <c r="O41" s="291"/>
      <c r="P41" s="291"/>
      <c r="Q41" s="291"/>
      <c r="R41" s="291"/>
      <c r="S41" s="289" t="str">
        <f t="shared" si="2"/>
        <v/>
      </c>
      <c r="T41" s="289" t="str">
        <f t="shared" si="3"/>
        <v/>
      </c>
      <c r="U41" s="289" t="str">
        <f t="shared" si="4"/>
        <v/>
      </c>
      <c r="V41" s="238"/>
      <c r="X41" s="239"/>
      <c r="Y41" s="247"/>
      <c r="Z41" s="247"/>
    </row>
    <row r="42" spans="1:26" ht="44.25" customHeight="1" x14ac:dyDescent="0.25">
      <c r="A42" s="235"/>
      <c r="B42" s="180"/>
      <c r="C42" s="236"/>
      <c r="D42" s="237"/>
      <c r="E42" s="172">
        <v>5</v>
      </c>
      <c r="F42" s="292"/>
      <c r="G42" s="149"/>
      <c r="H42" s="149"/>
      <c r="I42" s="172" t="str">
        <f t="shared" si="0"/>
        <v xml:space="preserve">  </v>
      </c>
      <c r="J42" s="288"/>
      <c r="K42" s="289" t="str">
        <f>+IFERROR(VLOOKUP($J42,'11 FORMULAS'!$B$53:$C$53,2,0),"")</f>
        <v/>
      </c>
      <c r="L42" s="289" t="str">
        <f t="shared" si="1"/>
        <v/>
      </c>
      <c r="M42" s="290"/>
      <c r="N42" s="289" t="str">
        <f>+IFERROR(VLOOKUP($M42,'11 FORMULAS'!$B$54:$C$55,2,0),"")</f>
        <v/>
      </c>
      <c r="O42" s="291"/>
      <c r="P42" s="291"/>
      <c r="Q42" s="291"/>
      <c r="R42" s="291"/>
      <c r="S42" s="289" t="str">
        <f t="shared" si="2"/>
        <v/>
      </c>
      <c r="T42" s="289" t="str">
        <f t="shared" si="3"/>
        <v/>
      </c>
      <c r="U42" s="289" t="str">
        <f t="shared" si="4"/>
        <v/>
      </c>
      <c r="V42" s="238"/>
      <c r="X42" s="239"/>
      <c r="Y42" s="247"/>
      <c r="Z42" s="247"/>
    </row>
    <row r="43" spans="1:26" ht="44.25" customHeight="1" thickBot="1" x14ac:dyDescent="0.3">
      <c r="A43" s="240"/>
      <c r="B43" s="182"/>
      <c r="C43" s="241"/>
      <c r="D43" s="242"/>
      <c r="E43" s="131">
        <v>6</v>
      </c>
      <c r="F43" s="293"/>
      <c r="G43" s="294"/>
      <c r="H43" s="294"/>
      <c r="I43" s="172" t="str">
        <f t="shared" si="0"/>
        <v xml:space="preserve">  </v>
      </c>
      <c r="J43" s="288"/>
      <c r="K43" s="289" t="str">
        <f>+IFERROR(VLOOKUP($J43,'11 FORMULAS'!$B$53:$C$53,2,0),"")</f>
        <v/>
      </c>
      <c r="L43" s="289" t="str">
        <f t="shared" si="1"/>
        <v/>
      </c>
      <c r="M43" s="290"/>
      <c r="N43" s="289" t="str">
        <f>+IFERROR(VLOOKUP($M43,'11 FORMULAS'!$B$54:$C$55,2,0),"")</f>
        <v/>
      </c>
      <c r="O43" s="291"/>
      <c r="P43" s="291"/>
      <c r="Q43" s="291"/>
      <c r="R43" s="291"/>
      <c r="S43" s="289" t="str">
        <f t="shared" si="2"/>
        <v/>
      </c>
      <c r="T43" s="289" t="str">
        <f t="shared" si="3"/>
        <v/>
      </c>
      <c r="U43" s="289" t="str">
        <f t="shared" si="4"/>
        <v/>
      </c>
      <c r="V43" s="244"/>
    </row>
    <row r="44" spans="1:26" ht="44.25" customHeight="1" x14ac:dyDescent="0.25">
      <c r="A44" s="228" t="str">
        <f>'2 CONTEXTO E IDENTIFICACIÓN'!A15</f>
        <v>R7</v>
      </c>
      <c r="B44" s="175" t="str">
        <f>+'2 CONTEXTO E IDENTIFICACIÓN'!J15</f>
        <v>Posibilidad de afectación reputacional por gestión del conflicto a causa de  la matriz de levantamiento de activos.</v>
      </c>
      <c r="C44" s="229">
        <f>+'3 PROBABIL E IMPACTO INHERENTE'!E15</f>
        <v>0.4</v>
      </c>
      <c r="D44" s="230">
        <f>+'3 PROBABIL E IMPACTO INHERENTE'!M15</f>
        <v>0.4</v>
      </c>
      <c r="E44" s="295">
        <v>1</v>
      </c>
      <c r="F44" s="286" t="s">
        <v>411</v>
      </c>
      <c r="G44" s="287" t="s">
        <v>412</v>
      </c>
      <c r="H44" s="287" t="s">
        <v>413</v>
      </c>
      <c r="I44" s="172" t="str">
        <f t="shared" si="0"/>
        <v>El(la) asesor(a) con funciones de gestión jurídica.   Hacer seguimiento a la aplicación de la estrategía de defensa a cargo del abogado apoderado.  Se analiza la causa de la no aplicación de la estategia de defensa y se informa al comité de conciliación para que este emita recomendaciones.</v>
      </c>
      <c r="J44" s="288"/>
      <c r="K44" s="289" t="str">
        <f>+IFERROR(VLOOKUP($J44,'11 FORMULAS'!$B$53:$C$53,2,0),"")</f>
        <v/>
      </c>
      <c r="L44" s="289" t="str">
        <f t="shared" si="1"/>
        <v/>
      </c>
      <c r="M44" s="290"/>
      <c r="N44" s="289" t="str">
        <f>+IFERROR(VLOOKUP($M44,'11 FORMULAS'!$B$54:$C$55,2,0),"")</f>
        <v/>
      </c>
      <c r="O44" s="291"/>
      <c r="P44" s="291"/>
      <c r="Q44" s="291"/>
      <c r="R44" s="291"/>
      <c r="S44" s="289" t="str">
        <f t="shared" si="2"/>
        <v/>
      </c>
      <c r="T44" s="289" t="str">
        <f t="shared" si="3"/>
        <v/>
      </c>
      <c r="U44" s="289" t="str">
        <f t="shared" si="4"/>
        <v/>
      </c>
      <c r="V44" s="234">
        <f>+'3 PROBABIL E IMPACTO INHERENTE'!M15</f>
        <v>0.4</v>
      </c>
      <c r="X44" s="239"/>
      <c r="Y44" s="247"/>
      <c r="Z44" s="247"/>
    </row>
    <row r="45" spans="1:26" ht="44.25" customHeight="1" x14ac:dyDescent="0.25">
      <c r="A45" s="235"/>
      <c r="B45" s="180"/>
      <c r="C45" s="236"/>
      <c r="D45" s="237"/>
      <c r="E45" s="172">
        <v>2</v>
      </c>
      <c r="F45" s="292"/>
      <c r="G45" s="149"/>
      <c r="H45" s="149"/>
      <c r="I45" s="172" t="str">
        <f t="shared" si="0"/>
        <v xml:space="preserve">  </v>
      </c>
      <c r="J45" s="288"/>
      <c r="K45" s="289" t="str">
        <f>+IFERROR(VLOOKUP($J45,'11 FORMULAS'!$B$53:$C$53,2,0),"")</f>
        <v/>
      </c>
      <c r="L45" s="289" t="str">
        <f t="shared" si="1"/>
        <v/>
      </c>
      <c r="M45" s="290"/>
      <c r="N45" s="289" t="str">
        <f>+IFERROR(VLOOKUP($M45,'11 FORMULAS'!$B$54:$C$55,2,0),"")</f>
        <v/>
      </c>
      <c r="O45" s="291"/>
      <c r="P45" s="291"/>
      <c r="Q45" s="291"/>
      <c r="R45" s="291"/>
      <c r="S45" s="289" t="str">
        <f t="shared" si="2"/>
        <v/>
      </c>
      <c r="T45" s="289" t="str">
        <f t="shared" si="3"/>
        <v/>
      </c>
      <c r="U45" s="289" t="str">
        <f t="shared" si="4"/>
        <v/>
      </c>
      <c r="V45" s="238"/>
      <c r="X45" s="239"/>
      <c r="Y45" s="247"/>
      <c r="Z45" s="247"/>
    </row>
    <row r="46" spans="1:26" ht="44.25" customHeight="1" x14ac:dyDescent="0.25">
      <c r="A46" s="235"/>
      <c r="B46" s="180"/>
      <c r="C46" s="236"/>
      <c r="D46" s="237"/>
      <c r="E46" s="172">
        <v>3</v>
      </c>
      <c r="F46" s="292"/>
      <c r="G46" s="149"/>
      <c r="H46" s="149"/>
      <c r="I46" s="172" t="str">
        <f t="shared" si="0"/>
        <v xml:space="preserve">  </v>
      </c>
      <c r="J46" s="288"/>
      <c r="K46" s="289" t="str">
        <f>+IFERROR(VLOOKUP($J46,'11 FORMULAS'!$B$53:$C$53,2,0),"")</f>
        <v/>
      </c>
      <c r="L46" s="289" t="str">
        <f t="shared" si="1"/>
        <v/>
      </c>
      <c r="M46" s="290"/>
      <c r="N46" s="289" t="str">
        <f>+IFERROR(VLOOKUP($M46,'11 FORMULAS'!$B$54:$C$55,2,0),"")</f>
        <v/>
      </c>
      <c r="O46" s="291"/>
      <c r="P46" s="291"/>
      <c r="Q46" s="291"/>
      <c r="R46" s="291"/>
      <c r="S46" s="289" t="str">
        <f t="shared" si="2"/>
        <v/>
      </c>
      <c r="T46" s="289" t="str">
        <f t="shared" si="3"/>
        <v/>
      </c>
      <c r="U46" s="289" t="str">
        <f t="shared" si="4"/>
        <v/>
      </c>
      <c r="V46" s="238"/>
      <c r="X46" s="239"/>
      <c r="Y46" s="247"/>
      <c r="Z46" s="247"/>
    </row>
    <row r="47" spans="1:26" ht="44.25" customHeight="1" x14ac:dyDescent="0.25">
      <c r="A47" s="235"/>
      <c r="B47" s="180"/>
      <c r="C47" s="236"/>
      <c r="D47" s="237"/>
      <c r="E47" s="172">
        <v>4</v>
      </c>
      <c r="F47" s="292"/>
      <c r="G47" s="149"/>
      <c r="H47" s="149"/>
      <c r="I47" s="172" t="str">
        <f t="shared" si="0"/>
        <v xml:space="preserve">  </v>
      </c>
      <c r="J47" s="288"/>
      <c r="K47" s="289" t="str">
        <f>+IFERROR(VLOOKUP($J47,'11 FORMULAS'!$B$53:$C$53,2,0),"")</f>
        <v/>
      </c>
      <c r="L47" s="289" t="str">
        <f t="shared" si="1"/>
        <v/>
      </c>
      <c r="M47" s="290"/>
      <c r="N47" s="289" t="str">
        <f>+IFERROR(VLOOKUP($M47,'11 FORMULAS'!$B$54:$C$55,2,0),"")</f>
        <v/>
      </c>
      <c r="O47" s="291"/>
      <c r="P47" s="291"/>
      <c r="Q47" s="291"/>
      <c r="R47" s="291"/>
      <c r="S47" s="289" t="str">
        <f t="shared" si="2"/>
        <v/>
      </c>
      <c r="T47" s="289" t="str">
        <f t="shared" si="3"/>
        <v/>
      </c>
      <c r="U47" s="289" t="str">
        <f t="shared" si="4"/>
        <v/>
      </c>
      <c r="V47" s="238"/>
      <c r="X47" s="239"/>
      <c r="Y47" s="247"/>
      <c r="Z47" s="247"/>
    </row>
    <row r="48" spans="1:26" ht="44.25" customHeight="1" x14ac:dyDescent="0.25">
      <c r="A48" s="235"/>
      <c r="B48" s="180"/>
      <c r="C48" s="236"/>
      <c r="D48" s="237"/>
      <c r="E48" s="172">
        <v>5</v>
      </c>
      <c r="F48" s="292"/>
      <c r="G48" s="149"/>
      <c r="H48" s="149"/>
      <c r="I48" s="172" t="str">
        <f t="shared" si="0"/>
        <v xml:space="preserve">  </v>
      </c>
      <c r="J48" s="288"/>
      <c r="K48" s="289" t="str">
        <f>+IFERROR(VLOOKUP($J48,'11 FORMULAS'!$B$53:$C$53,2,0),"")</f>
        <v/>
      </c>
      <c r="L48" s="289" t="str">
        <f t="shared" si="1"/>
        <v/>
      </c>
      <c r="M48" s="290"/>
      <c r="N48" s="289" t="str">
        <f>+IFERROR(VLOOKUP($M48,'11 FORMULAS'!$B$54:$C$55,2,0),"")</f>
        <v/>
      </c>
      <c r="O48" s="291"/>
      <c r="P48" s="291"/>
      <c r="Q48" s="291"/>
      <c r="R48" s="291"/>
      <c r="S48" s="289" t="str">
        <f t="shared" si="2"/>
        <v/>
      </c>
      <c r="T48" s="289" t="str">
        <f t="shared" si="3"/>
        <v/>
      </c>
      <c r="U48" s="289" t="str">
        <f t="shared" si="4"/>
        <v/>
      </c>
      <c r="V48" s="238"/>
      <c r="X48" s="239"/>
      <c r="Y48" s="247"/>
      <c r="Z48" s="247"/>
    </row>
    <row r="49" spans="1:26" ht="44.25" customHeight="1" thickBot="1" x14ac:dyDescent="0.3">
      <c r="A49" s="240"/>
      <c r="B49" s="182"/>
      <c r="C49" s="241"/>
      <c r="D49" s="242"/>
      <c r="E49" s="131">
        <v>6</v>
      </c>
      <c r="F49" s="293"/>
      <c r="G49" s="294"/>
      <c r="H49" s="294"/>
      <c r="I49" s="172" t="str">
        <f t="shared" si="0"/>
        <v xml:space="preserve">  </v>
      </c>
      <c r="J49" s="288"/>
      <c r="K49" s="289" t="str">
        <f>+IFERROR(VLOOKUP($J49,'11 FORMULAS'!$B$53:$C$53,2,0),"")</f>
        <v/>
      </c>
      <c r="L49" s="289" t="str">
        <f t="shared" si="1"/>
        <v/>
      </c>
      <c r="M49" s="290"/>
      <c r="N49" s="289" t="str">
        <f>+IFERROR(VLOOKUP($M49,'11 FORMULAS'!$B$54:$C$55,2,0),"")</f>
        <v/>
      </c>
      <c r="O49" s="291"/>
      <c r="P49" s="291"/>
      <c r="Q49" s="291"/>
      <c r="R49" s="291"/>
      <c r="S49" s="289" t="str">
        <f t="shared" si="2"/>
        <v/>
      </c>
      <c r="T49" s="289" t="str">
        <f t="shared" si="3"/>
        <v/>
      </c>
      <c r="U49" s="289" t="str">
        <f t="shared" si="4"/>
        <v/>
      </c>
      <c r="V49" s="244"/>
    </row>
    <row r="50" spans="1:26" ht="44.25" customHeight="1" x14ac:dyDescent="0.25">
      <c r="A50" s="228" t="str">
        <f>'2 CONTEXTO E IDENTIFICACIÓN'!A16</f>
        <v>R8</v>
      </c>
      <c r="B50" s="175" t="str">
        <f>+'2 CONTEXTO E IDENTIFICACIÓN'!J16</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C50" s="229">
        <f>+'3 PROBABIL E IMPACTO INHERENTE'!E16</f>
        <v>0.6</v>
      </c>
      <c r="D50" s="230">
        <f>+'3 PROBABIL E IMPACTO INHERENTE'!M16</f>
        <v>0.6</v>
      </c>
      <c r="E50" s="295">
        <v>1</v>
      </c>
      <c r="F50" s="286" t="s">
        <v>414</v>
      </c>
      <c r="G50" s="287" t="s">
        <v>415</v>
      </c>
      <c r="H50" s="287" t="s">
        <v>416</v>
      </c>
      <c r="I50" s="172" t="str">
        <f t="shared" si="0"/>
        <v>El cuentadante de la caja menor. Aplicar los lineamientos establecidos por la Agencia para la administración de la caja menor. Reportar al respectivo superior jerárquico de la Agencia, el estado de la administración  de la caja menor.</v>
      </c>
      <c r="J50" s="288"/>
      <c r="K50" s="289" t="str">
        <f>+IFERROR(VLOOKUP($J50,'11 FORMULAS'!$B$53:$C$53,2,0),"")</f>
        <v/>
      </c>
      <c r="L50" s="289" t="str">
        <f t="shared" si="1"/>
        <v/>
      </c>
      <c r="M50" s="290"/>
      <c r="N50" s="289" t="str">
        <f>+IFERROR(VLOOKUP($M50,'11 FORMULAS'!$B$54:$C$55,2,0),"")</f>
        <v/>
      </c>
      <c r="O50" s="291"/>
      <c r="P50" s="291"/>
      <c r="Q50" s="291"/>
      <c r="R50" s="291"/>
      <c r="S50" s="289" t="str">
        <f t="shared" si="2"/>
        <v/>
      </c>
      <c r="T50" s="289" t="str">
        <f t="shared" si="3"/>
        <v/>
      </c>
      <c r="U50" s="289" t="str">
        <f t="shared" si="4"/>
        <v/>
      </c>
      <c r="V50" s="234">
        <f>+'3 PROBABIL E IMPACTO INHERENTE'!M16</f>
        <v>0.6</v>
      </c>
      <c r="X50" s="239"/>
      <c r="Y50" s="247"/>
      <c r="Z50" s="247"/>
    </row>
    <row r="51" spans="1:26" ht="44.25" customHeight="1" x14ac:dyDescent="0.25">
      <c r="A51" s="235"/>
      <c r="B51" s="180"/>
      <c r="C51" s="236"/>
      <c r="D51" s="237"/>
      <c r="E51" s="172">
        <v>2</v>
      </c>
      <c r="F51" s="292"/>
      <c r="G51" s="149"/>
      <c r="H51" s="149"/>
      <c r="I51" s="172" t="str">
        <f t="shared" si="0"/>
        <v xml:space="preserve">  </v>
      </c>
      <c r="J51" s="288"/>
      <c r="K51" s="289" t="str">
        <f>+IFERROR(VLOOKUP($J51,'11 FORMULAS'!$B$53:$C$53,2,0),"")</f>
        <v/>
      </c>
      <c r="L51" s="289" t="str">
        <f t="shared" si="1"/>
        <v/>
      </c>
      <c r="M51" s="290"/>
      <c r="N51" s="289" t="str">
        <f>+IFERROR(VLOOKUP($M51,'11 FORMULAS'!$B$54:$C$55,2,0),"")</f>
        <v/>
      </c>
      <c r="O51" s="291"/>
      <c r="P51" s="291"/>
      <c r="Q51" s="291"/>
      <c r="R51" s="291"/>
      <c r="S51" s="289" t="str">
        <f t="shared" si="2"/>
        <v/>
      </c>
      <c r="T51" s="289" t="str">
        <f t="shared" si="3"/>
        <v/>
      </c>
      <c r="U51" s="289" t="str">
        <f t="shared" si="4"/>
        <v/>
      </c>
      <c r="V51" s="238"/>
      <c r="X51" s="239"/>
      <c r="Y51" s="247"/>
      <c r="Z51" s="247"/>
    </row>
    <row r="52" spans="1:26" ht="44.25" customHeight="1" x14ac:dyDescent="0.25">
      <c r="A52" s="235"/>
      <c r="B52" s="180"/>
      <c r="C52" s="236"/>
      <c r="D52" s="237"/>
      <c r="E52" s="172">
        <v>3</v>
      </c>
      <c r="F52" s="292"/>
      <c r="G52" s="149"/>
      <c r="H52" s="149"/>
      <c r="I52" s="172" t="str">
        <f t="shared" si="0"/>
        <v xml:space="preserve">  </v>
      </c>
      <c r="J52" s="288"/>
      <c r="K52" s="289" t="str">
        <f>+IFERROR(VLOOKUP($J52,'11 FORMULAS'!$B$53:$C$53,2,0),"")</f>
        <v/>
      </c>
      <c r="L52" s="289" t="str">
        <f t="shared" si="1"/>
        <v/>
      </c>
      <c r="M52" s="290"/>
      <c r="N52" s="289" t="str">
        <f>+IFERROR(VLOOKUP($M52,'11 FORMULAS'!$B$54:$C$55,2,0),"")</f>
        <v/>
      </c>
      <c r="O52" s="291"/>
      <c r="P52" s="291"/>
      <c r="Q52" s="291"/>
      <c r="R52" s="291"/>
      <c r="S52" s="289" t="str">
        <f t="shared" si="2"/>
        <v/>
      </c>
      <c r="T52" s="289" t="str">
        <f t="shared" ref="T52:T83" si="5">+IFERROR(D52*S52,"")</f>
        <v/>
      </c>
      <c r="U52" s="289" t="str">
        <f t="shared" ref="U52:U83" si="6">+IFERROR(D52-T52,"")</f>
        <v/>
      </c>
      <c r="V52" s="238"/>
      <c r="X52" s="239"/>
      <c r="Y52" s="247"/>
      <c r="Z52" s="247"/>
    </row>
    <row r="53" spans="1:26" ht="44.25" customHeight="1" x14ac:dyDescent="0.25">
      <c r="A53" s="235"/>
      <c r="B53" s="180"/>
      <c r="C53" s="236"/>
      <c r="D53" s="237"/>
      <c r="E53" s="172">
        <v>4</v>
      </c>
      <c r="F53" s="292"/>
      <c r="G53" s="149"/>
      <c r="H53" s="149"/>
      <c r="I53" s="172" t="str">
        <f t="shared" si="0"/>
        <v xml:space="preserve">  </v>
      </c>
      <c r="J53" s="288"/>
      <c r="K53" s="289" t="str">
        <f>+IFERROR(VLOOKUP($J53,'11 FORMULAS'!$B$53:$C$53,2,0),"")</f>
        <v/>
      </c>
      <c r="L53" s="289" t="str">
        <f t="shared" si="1"/>
        <v/>
      </c>
      <c r="M53" s="290"/>
      <c r="N53" s="289" t="str">
        <f>+IFERROR(VLOOKUP($M53,'11 FORMULAS'!$B$54:$C$55,2,0),"")</f>
        <v/>
      </c>
      <c r="O53" s="291"/>
      <c r="P53" s="291"/>
      <c r="Q53" s="291"/>
      <c r="R53" s="291"/>
      <c r="S53" s="289" t="str">
        <f t="shared" si="2"/>
        <v/>
      </c>
      <c r="T53" s="289" t="str">
        <f t="shared" si="5"/>
        <v/>
      </c>
      <c r="U53" s="289" t="str">
        <f t="shared" si="6"/>
        <v/>
      </c>
      <c r="V53" s="238"/>
      <c r="X53" s="239"/>
      <c r="Y53" s="247"/>
      <c r="Z53" s="247"/>
    </row>
    <row r="54" spans="1:26" ht="44.25" customHeight="1" x14ac:dyDescent="0.25">
      <c r="A54" s="235"/>
      <c r="B54" s="180"/>
      <c r="C54" s="236"/>
      <c r="D54" s="237"/>
      <c r="E54" s="172">
        <v>5</v>
      </c>
      <c r="F54" s="292"/>
      <c r="G54" s="149"/>
      <c r="H54" s="149"/>
      <c r="I54" s="172" t="str">
        <f t="shared" si="0"/>
        <v xml:space="preserve">  </v>
      </c>
      <c r="J54" s="288"/>
      <c r="K54" s="289" t="str">
        <f>+IFERROR(VLOOKUP($J54,'11 FORMULAS'!$B$53:$C$53,2,0),"")</f>
        <v/>
      </c>
      <c r="L54" s="289" t="str">
        <f t="shared" si="1"/>
        <v/>
      </c>
      <c r="M54" s="290"/>
      <c r="N54" s="289" t="str">
        <f>+IFERROR(VLOOKUP($M54,'11 FORMULAS'!$B$54:$C$55,2,0),"")</f>
        <v/>
      </c>
      <c r="O54" s="291"/>
      <c r="P54" s="291"/>
      <c r="Q54" s="291"/>
      <c r="R54" s="291"/>
      <c r="S54" s="289" t="str">
        <f t="shared" si="2"/>
        <v/>
      </c>
      <c r="T54" s="289" t="str">
        <f t="shared" si="5"/>
        <v/>
      </c>
      <c r="U54" s="289" t="str">
        <f t="shared" si="6"/>
        <v/>
      </c>
      <c r="V54" s="238"/>
      <c r="X54" s="239"/>
      <c r="Y54" s="247"/>
      <c r="Z54" s="247"/>
    </row>
    <row r="55" spans="1:26" ht="44.25" customHeight="1" thickBot="1" x14ac:dyDescent="0.3">
      <c r="A55" s="240"/>
      <c r="B55" s="182"/>
      <c r="C55" s="241"/>
      <c r="D55" s="242"/>
      <c r="E55" s="131">
        <v>6</v>
      </c>
      <c r="F55" s="293"/>
      <c r="G55" s="294"/>
      <c r="H55" s="294"/>
      <c r="I55" s="172" t="str">
        <f t="shared" si="0"/>
        <v xml:space="preserve">  </v>
      </c>
      <c r="J55" s="288"/>
      <c r="K55" s="289" t="str">
        <f>+IFERROR(VLOOKUP($J55,'11 FORMULAS'!$B$53:$C$53,2,0),"")</f>
        <v/>
      </c>
      <c r="L55" s="289" t="str">
        <f t="shared" si="1"/>
        <v/>
      </c>
      <c r="M55" s="290"/>
      <c r="N55" s="289" t="str">
        <f>+IFERROR(VLOOKUP($M55,'11 FORMULAS'!$B$54:$C$55,2,0),"")</f>
        <v/>
      </c>
      <c r="O55" s="291"/>
      <c r="P55" s="291"/>
      <c r="Q55" s="291"/>
      <c r="R55" s="291"/>
      <c r="S55" s="289" t="str">
        <f t="shared" si="2"/>
        <v/>
      </c>
      <c r="T55" s="289" t="str">
        <f t="shared" si="5"/>
        <v/>
      </c>
      <c r="U55" s="289" t="str">
        <f t="shared" si="6"/>
        <v/>
      </c>
      <c r="V55" s="244"/>
    </row>
    <row r="56" spans="1:26" ht="44.25" customHeight="1" x14ac:dyDescent="0.25">
      <c r="A56" s="228" t="str">
        <f>'2 CONTEXTO E IDENTIFICACIÓN'!A17</f>
        <v>R9</v>
      </c>
      <c r="B56" s="175" t="str">
        <f>+'2 CONTEXTO E IDENTIFICACIÓN'!J17</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C56" s="229">
        <f>+'3 PROBABIL E IMPACTO INHERENTE'!E17</f>
        <v>0.4</v>
      </c>
      <c r="D56" s="230">
        <f>+'3 PROBABIL E IMPACTO INHERENTE'!M17</f>
        <v>0.4</v>
      </c>
      <c r="E56" s="295">
        <v>1</v>
      </c>
      <c r="F56" s="286" t="s">
        <v>417</v>
      </c>
      <c r="G56" s="287" t="s">
        <v>418</v>
      </c>
      <c r="H56" s="287" t="s">
        <v>419</v>
      </c>
      <c r="I56" s="172" t="str">
        <f t="shared" si="0"/>
        <v xml:space="preserve"> El director(a) técnico(a). Realizar seguimiento a la ejecución de los recursos derl FOCAI que se les entregan a otros países o entidades. Cuando aplique se reitera la solicitud del informe donde el beneficiario da cuenta del uso de los recursos recibidos </v>
      </c>
      <c r="J56" s="288"/>
      <c r="K56" s="289" t="str">
        <f>+IFERROR(VLOOKUP($J56,'11 FORMULAS'!$B$53:$C$53,2,0),"")</f>
        <v/>
      </c>
      <c r="L56" s="289" t="str">
        <f t="shared" si="1"/>
        <v/>
      </c>
      <c r="M56" s="290"/>
      <c r="N56" s="289" t="str">
        <f>+IFERROR(VLOOKUP($M56,'11 FORMULAS'!$B$54:$C$55,2,0),"")</f>
        <v/>
      </c>
      <c r="O56" s="291"/>
      <c r="P56" s="291"/>
      <c r="Q56" s="291"/>
      <c r="R56" s="291"/>
      <c r="S56" s="289" t="str">
        <f t="shared" si="2"/>
        <v/>
      </c>
      <c r="T56" s="289" t="str">
        <f t="shared" si="5"/>
        <v/>
      </c>
      <c r="U56" s="289" t="str">
        <f t="shared" si="6"/>
        <v/>
      </c>
      <c r="V56" s="234">
        <f>+'3 PROBABIL E IMPACTO INHERENTE'!M17</f>
        <v>0.4</v>
      </c>
      <c r="X56" s="239"/>
      <c r="Y56" s="247"/>
      <c r="Z56" s="247"/>
    </row>
    <row r="57" spans="1:26" ht="44.25" customHeight="1" x14ac:dyDescent="0.25">
      <c r="A57" s="235"/>
      <c r="B57" s="180"/>
      <c r="C57" s="236"/>
      <c r="D57" s="237"/>
      <c r="E57" s="172">
        <v>2</v>
      </c>
      <c r="F57" s="292"/>
      <c r="G57" s="149"/>
      <c r="H57" s="149"/>
      <c r="I57" s="172" t="str">
        <f t="shared" si="0"/>
        <v xml:space="preserve">  </v>
      </c>
      <c r="J57" s="288"/>
      <c r="K57" s="289" t="str">
        <f>+IFERROR(VLOOKUP($J57,'11 FORMULAS'!$B$53:$C$53,2,0),"")</f>
        <v/>
      </c>
      <c r="L57" s="289" t="str">
        <f t="shared" si="1"/>
        <v/>
      </c>
      <c r="M57" s="290"/>
      <c r="N57" s="289" t="str">
        <f>+IFERROR(VLOOKUP($M57,'11 FORMULAS'!$B$54:$C$55,2,0),"")</f>
        <v/>
      </c>
      <c r="O57" s="291"/>
      <c r="P57" s="291"/>
      <c r="Q57" s="291"/>
      <c r="R57" s="291"/>
      <c r="S57" s="289" t="str">
        <f t="shared" si="2"/>
        <v/>
      </c>
      <c r="T57" s="289" t="str">
        <f t="shared" si="5"/>
        <v/>
      </c>
      <c r="U57" s="289" t="str">
        <f t="shared" si="6"/>
        <v/>
      </c>
      <c r="V57" s="238"/>
      <c r="X57" s="239"/>
      <c r="Y57" s="247"/>
      <c r="Z57" s="247"/>
    </row>
    <row r="58" spans="1:26" ht="44.25" customHeight="1" x14ac:dyDescent="0.25">
      <c r="A58" s="235"/>
      <c r="B58" s="180"/>
      <c r="C58" s="236"/>
      <c r="D58" s="237"/>
      <c r="E58" s="172">
        <v>3</v>
      </c>
      <c r="F58" s="292"/>
      <c r="G58" s="149"/>
      <c r="H58" s="149"/>
      <c r="I58" s="172" t="str">
        <f t="shared" si="0"/>
        <v xml:space="preserve">  </v>
      </c>
      <c r="J58" s="288"/>
      <c r="K58" s="289" t="str">
        <f>+IFERROR(VLOOKUP($J58,'11 FORMULAS'!$B$53:$C$53,2,0),"")</f>
        <v/>
      </c>
      <c r="L58" s="289" t="str">
        <f t="shared" si="1"/>
        <v/>
      </c>
      <c r="M58" s="290"/>
      <c r="N58" s="289" t="str">
        <f>+IFERROR(VLOOKUP($M58,'11 FORMULAS'!$B$54:$C$55,2,0),"")</f>
        <v/>
      </c>
      <c r="O58" s="291"/>
      <c r="P58" s="291"/>
      <c r="Q58" s="291"/>
      <c r="R58" s="291"/>
      <c r="S58" s="289" t="str">
        <f t="shared" si="2"/>
        <v/>
      </c>
      <c r="T58" s="289" t="str">
        <f t="shared" si="5"/>
        <v/>
      </c>
      <c r="U58" s="289" t="str">
        <f t="shared" si="6"/>
        <v/>
      </c>
      <c r="V58" s="238"/>
      <c r="X58" s="239"/>
      <c r="Y58" s="247"/>
      <c r="Z58" s="247"/>
    </row>
    <row r="59" spans="1:26" ht="44.25" customHeight="1" x14ac:dyDescent="0.25">
      <c r="A59" s="235"/>
      <c r="B59" s="180"/>
      <c r="C59" s="236"/>
      <c r="D59" s="237"/>
      <c r="E59" s="172">
        <v>4</v>
      </c>
      <c r="F59" s="292"/>
      <c r="G59" s="149"/>
      <c r="H59" s="149"/>
      <c r="I59" s="172" t="str">
        <f t="shared" si="0"/>
        <v xml:space="preserve">  </v>
      </c>
      <c r="J59" s="288"/>
      <c r="K59" s="289" t="str">
        <f>+IFERROR(VLOOKUP($J59,'11 FORMULAS'!$B$53:$C$53,2,0),"")</f>
        <v/>
      </c>
      <c r="L59" s="289" t="str">
        <f t="shared" si="1"/>
        <v/>
      </c>
      <c r="M59" s="290"/>
      <c r="N59" s="289" t="str">
        <f>+IFERROR(VLOOKUP($M59,'11 FORMULAS'!$B$54:$C$55,2,0),"")</f>
        <v/>
      </c>
      <c r="O59" s="291"/>
      <c r="P59" s="291"/>
      <c r="Q59" s="291"/>
      <c r="R59" s="291"/>
      <c r="S59" s="289" t="str">
        <f t="shared" si="2"/>
        <v/>
      </c>
      <c r="T59" s="289" t="str">
        <f t="shared" si="5"/>
        <v/>
      </c>
      <c r="U59" s="289" t="str">
        <f t="shared" si="6"/>
        <v/>
      </c>
      <c r="V59" s="238"/>
      <c r="X59" s="239"/>
      <c r="Y59" s="247"/>
      <c r="Z59" s="247"/>
    </row>
    <row r="60" spans="1:26" ht="44.25" customHeight="1" x14ac:dyDescent="0.25">
      <c r="A60" s="235"/>
      <c r="B60" s="180"/>
      <c r="C60" s="236"/>
      <c r="D60" s="237"/>
      <c r="E60" s="172">
        <v>5</v>
      </c>
      <c r="F60" s="292"/>
      <c r="G60" s="149"/>
      <c r="H60" s="149"/>
      <c r="I60" s="172" t="str">
        <f t="shared" si="0"/>
        <v xml:space="preserve">  </v>
      </c>
      <c r="J60" s="288"/>
      <c r="K60" s="289" t="str">
        <f>+IFERROR(VLOOKUP($J60,'11 FORMULAS'!$B$53:$C$53,2,0),"")</f>
        <v/>
      </c>
      <c r="L60" s="289" t="str">
        <f t="shared" si="1"/>
        <v/>
      </c>
      <c r="M60" s="290"/>
      <c r="N60" s="289" t="str">
        <f>+IFERROR(VLOOKUP($M60,'11 FORMULAS'!$B$54:$C$55,2,0),"")</f>
        <v/>
      </c>
      <c r="O60" s="291"/>
      <c r="P60" s="291"/>
      <c r="Q60" s="291"/>
      <c r="R60" s="291"/>
      <c r="S60" s="289" t="str">
        <f t="shared" si="2"/>
        <v/>
      </c>
      <c r="T60" s="289" t="str">
        <f t="shared" si="5"/>
        <v/>
      </c>
      <c r="U60" s="289" t="str">
        <f t="shared" si="6"/>
        <v/>
      </c>
      <c r="V60" s="238"/>
      <c r="X60" s="239"/>
      <c r="Y60" s="247"/>
      <c r="Z60" s="247"/>
    </row>
    <row r="61" spans="1:26" ht="44.25" customHeight="1" thickBot="1" x14ac:dyDescent="0.3">
      <c r="A61" s="240"/>
      <c r="B61" s="182"/>
      <c r="C61" s="241"/>
      <c r="D61" s="242"/>
      <c r="E61" s="131">
        <v>6</v>
      </c>
      <c r="F61" s="293"/>
      <c r="G61" s="294"/>
      <c r="H61" s="294"/>
      <c r="I61" s="172" t="str">
        <f t="shared" si="0"/>
        <v xml:space="preserve">  </v>
      </c>
      <c r="J61" s="288"/>
      <c r="K61" s="289" t="str">
        <f>+IFERROR(VLOOKUP($J61,'11 FORMULAS'!$B$53:$C$53,2,0),"")</f>
        <v/>
      </c>
      <c r="L61" s="289" t="str">
        <f t="shared" si="1"/>
        <v/>
      </c>
      <c r="M61" s="290"/>
      <c r="N61" s="289" t="str">
        <f>+IFERROR(VLOOKUP($M61,'11 FORMULAS'!$B$54:$C$55,2,0),"")</f>
        <v/>
      </c>
      <c r="O61" s="291"/>
      <c r="P61" s="291"/>
      <c r="Q61" s="291"/>
      <c r="R61" s="291"/>
      <c r="S61" s="289" t="str">
        <f t="shared" si="2"/>
        <v/>
      </c>
      <c r="T61" s="289" t="str">
        <f t="shared" si="5"/>
        <v/>
      </c>
      <c r="U61" s="289" t="str">
        <f t="shared" si="6"/>
        <v/>
      </c>
      <c r="V61" s="244"/>
    </row>
    <row r="62" spans="1:26" ht="44.25" customHeight="1" x14ac:dyDescent="0.25">
      <c r="A62" s="228" t="str">
        <f>'2 CONTEXTO E IDENTIFICACIÓN'!A18</f>
        <v>R10</v>
      </c>
      <c r="B62" s="175" t="str">
        <f>+'2 CONTEXTO E IDENTIFICACIÓN'!J18</f>
        <v>Posibilidad de afectación económica por no reporte o no rendir informes sobre el uso o destinación de los recursos entregados a otros países y otras entidades a causa de la no entrega de los informes.</v>
      </c>
      <c r="C62" s="229">
        <f>+'3 PROBABIL E IMPACTO INHERENTE'!E18</f>
        <v>0.4</v>
      </c>
      <c r="D62" s="230">
        <f>+'3 PROBABIL E IMPACTO INHERENTE'!M18</f>
        <v>0.4</v>
      </c>
      <c r="E62" s="295">
        <v>1</v>
      </c>
      <c r="F62" s="286" t="s">
        <v>417</v>
      </c>
      <c r="G62" s="287" t="s">
        <v>420</v>
      </c>
      <c r="H62" s="287" t="s">
        <v>421</v>
      </c>
      <c r="I62" s="172" t="str">
        <f t="shared" si="0"/>
        <v xml:space="preserve"> El director(a) técnico(a). Realizar seguimiento al informe de ejecución de los recursos entregados. Cuando aplique se realiza ajustes a los proyectos o reprogramación de iniciativas de CSS. </v>
      </c>
      <c r="J62" s="288"/>
      <c r="K62" s="289" t="str">
        <f>+IFERROR(VLOOKUP($J62,'11 FORMULAS'!$B$53:$C$53,2,0),"")</f>
        <v/>
      </c>
      <c r="L62" s="289" t="str">
        <f t="shared" si="1"/>
        <v/>
      </c>
      <c r="M62" s="290"/>
      <c r="N62" s="289" t="str">
        <f>+IFERROR(VLOOKUP($M62,'11 FORMULAS'!$B$54:$C$55,2,0),"")</f>
        <v/>
      </c>
      <c r="O62" s="291"/>
      <c r="P62" s="291"/>
      <c r="Q62" s="291"/>
      <c r="R62" s="291"/>
      <c r="S62" s="289" t="str">
        <f t="shared" si="2"/>
        <v/>
      </c>
      <c r="T62" s="289" t="str">
        <f t="shared" si="5"/>
        <v/>
      </c>
      <c r="U62" s="289" t="str">
        <f t="shared" si="6"/>
        <v/>
      </c>
      <c r="V62" s="234">
        <f>+'3 PROBABIL E IMPACTO INHERENTE'!M18</f>
        <v>0.4</v>
      </c>
      <c r="X62" s="239"/>
      <c r="Y62" s="247"/>
      <c r="Z62" s="247"/>
    </row>
    <row r="63" spans="1:26" ht="44.25" customHeight="1" x14ac:dyDescent="0.25">
      <c r="A63" s="235"/>
      <c r="B63" s="180"/>
      <c r="C63" s="236"/>
      <c r="D63" s="237"/>
      <c r="E63" s="172">
        <v>2</v>
      </c>
      <c r="F63" s="292"/>
      <c r="G63" s="149"/>
      <c r="H63" s="149"/>
      <c r="I63" s="172" t="str">
        <f t="shared" si="0"/>
        <v xml:space="preserve">  </v>
      </c>
      <c r="J63" s="288"/>
      <c r="K63" s="289" t="str">
        <f>+IFERROR(VLOOKUP($J63,'11 FORMULAS'!$B$53:$C$53,2,0),"")</f>
        <v/>
      </c>
      <c r="L63" s="289" t="str">
        <f t="shared" si="1"/>
        <v/>
      </c>
      <c r="M63" s="290"/>
      <c r="N63" s="289" t="str">
        <f>+IFERROR(VLOOKUP($M63,'11 FORMULAS'!$B$54:$C$55,2,0),"")</f>
        <v/>
      </c>
      <c r="O63" s="291"/>
      <c r="P63" s="291"/>
      <c r="Q63" s="291"/>
      <c r="R63" s="291"/>
      <c r="S63" s="289" t="str">
        <f t="shared" si="2"/>
        <v/>
      </c>
      <c r="T63" s="289" t="str">
        <f t="shared" si="5"/>
        <v/>
      </c>
      <c r="U63" s="289" t="str">
        <f t="shared" si="6"/>
        <v/>
      </c>
      <c r="V63" s="238"/>
      <c r="X63" s="239"/>
      <c r="Y63" s="247"/>
      <c r="Z63" s="247"/>
    </row>
    <row r="64" spans="1:26" ht="44.25" customHeight="1" x14ac:dyDescent="0.25">
      <c r="A64" s="235"/>
      <c r="B64" s="180"/>
      <c r="C64" s="236"/>
      <c r="D64" s="237"/>
      <c r="E64" s="172">
        <v>3</v>
      </c>
      <c r="F64" s="292"/>
      <c r="G64" s="149"/>
      <c r="H64" s="149"/>
      <c r="I64" s="172" t="str">
        <f t="shared" si="0"/>
        <v xml:space="preserve">  </v>
      </c>
      <c r="J64" s="288"/>
      <c r="K64" s="289" t="str">
        <f>+IFERROR(VLOOKUP($J64,'11 FORMULAS'!$B$53:$C$53,2,0),"")</f>
        <v/>
      </c>
      <c r="L64" s="289" t="str">
        <f t="shared" si="1"/>
        <v/>
      </c>
      <c r="M64" s="290"/>
      <c r="N64" s="289" t="str">
        <f>+IFERROR(VLOOKUP($M64,'11 FORMULAS'!$B$54:$C$55,2,0),"")</f>
        <v/>
      </c>
      <c r="O64" s="291"/>
      <c r="P64" s="291"/>
      <c r="Q64" s="291"/>
      <c r="R64" s="291"/>
      <c r="S64" s="289" t="str">
        <f t="shared" si="2"/>
        <v/>
      </c>
      <c r="T64" s="289" t="str">
        <f t="shared" si="5"/>
        <v/>
      </c>
      <c r="U64" s="289" t="str">
        <f t="shared" si="6"/>
        <v/>
      </c>
      <c r="V64" s="238"/>
      <c r="X64" s="239"/>
      <c r="Y64" s="247"/>
      <c r="Z64" s="247"/>
    </row>
    <row r="65" spans="1:26" ht="44.25" customHeight="1" x14ac:dyDescent="0.25">
      <c r="A65" s="235"/>
      <c r="B65" s="180"/>
      <c r="C65" s="236"/>
      <c r="D65" s="237"/>
      <c r="E65" s="172">
        <v>4</v>
      </c>
      <c r="F65" s="292"/>
      <c r="G65" s="149"/>
      <c r="H65" s="149"/>
      <c r="I65" s="172" t="str">
        <f t="shared" si="0"/>
        <v xml:space="preserve">  </v>
      </c>
      <c r="J65" s="288"/>
      <c r="K65" s="289" t="str">
        <f>+IFERROR(VLOOKUP($J65,'11 FORMULAS'!$B$53:$C$53,2,0),"")</f>
        <v/>
      </c>
      <c r="L65" s="289" t="str">
        <f t="shared" si="1"/>
        <v/>
      </c>
      <c r="M65" s="290"/>
      <c r="N65" s="289" t="str">
        <f>+IFERROR(VLOOKUP($M65,'11 FORMULAS'!$B$54:$C$55,2,0),"")</f>
        <v/>
      </c>
      <c r="O65" s="291"/>
      <c r="P65" s="291"/>
      <c r="Q65" s="291"/>
      <c r="R65" s="291"/>
      <c r="S65" s="289" t="str">
        <f t="shared" si="2"/>
        <v/>
      </c>
      <c r="T65" s="289" t="str">
        <f t="shared" si="5"/>
        <v/>
      </c>
      <c r="U65" s="289" t="str">
        <f t="shared" si="6"/>
        <v/>
      </c>
      <c r="V65" s="238"/>
      <c r="X65" s="239"/>
      <c r="Y65" s="247"/>
      <c r="Z65" s="247"/>
    </row>
    <row r="66" spans="1:26" ht="44.25" customHeight="1" x14ac:dyDescent="0.25">
      <c r="A66" s="235"/>
      <c r="B66" s="180"/>
      <c r="C66" s="236"/>
      <c r="D66" s="237"/>
      <c r="E66" s="172">
        <v>5</v>
      </c>
      <c r="F66" s="292"/>
      <c r="G66" s="149"/>
      <c r="H66" s="149"/>
      <c r="I66" s="172" t="str">
        <f t="shared" si="0"/>
        <v xml:space="preserve">  </v>
      </c>
      <c r="J66" s="288"/>
      <c r="K66" s="289" t="str">
        <f>+IFERROR(VLOOKUP($J66,'11 FORMULAS'!$B$53:$C$53,2,0),"")</f>
        <v/>
      </c>
      <c r="L66" s="289" t="str">
        <f t="shared" si="1"/>
        <v/>
      </c>
      <c r="M66" s="290"/>
      <c r="N66" s="289" t="str">
        <f>+IFERROR(VLOOKUP($M66,'11 FORMULAS'!$B$54:$C$55,2,0),"")</f>
        <v/>
      </c>
      <c r="O66" s="291"/>
      <c r="P66" s="291"/>
      <c r="Q66" s="291"/>
      <c r="R66" s="291"/>
      <c r="S66" s="289" t="str">
        <f t="shared" si="2"/>
        <v/>
      </c>
      <c r="T66" s="289" t="str">
        <f t="shared" si="5"/>
        <v/>
      </c>
      <c r="U66" s="289" t="str">
        <f t="shared" si="6"/>
        <v/>
      </c>
      <c r="V66" s="238"/>
      <c r="X66" s="239"/>
      <c r="Y66" s="247"/>
      <c r="Z66" s="247"/>
    </row>
    <row r="67" spans="1:26" ht="44.25" customHeight="1" thickBot="1" x14ac:dyDescent="0.3">
      <c r="A67" s="240"/>
      <c r="B67" s="182"/>
      <c r="C67" s="241"/>
      <c r="D67" s="242"/>
      <c r="E67" s="131">
        <v>6</v>
      </c>
      <c r="F67" s="293"/>
      <c r="G67" s="294"/>
      <c r="H67" s="294"/>
      <c r="I67" s="172" t="str">
        <f t="shared" si="0"/>
        <v xml:space="preserve">  </v>
      </c>
      <c r="J67" s="288"/>
      <c r="K67" s="289" t="str">
        <f>+IFERROR(VLOOKUP($J67,'11 FORMULAS'!$B$53:$C$53,2,0),"")</f>
        <v/>
      </c>
      <c r="L67" s="289" t="str">
        <f t="shared" si="1"/>
        <v/>
      </c>
      <c r="M67" s="290"/>
      <c r="N67" s="289" t="str">
        <f>+IFERROR(VLOOKUP($M67,'11 FORMULAS'!$B$54:$C$55,2,0),"")</f>
        <v/>
      </c>
      <c r="O67" s="291"/>
      <c r="P67" s="291"/>
      <c r="Q67" s="291"/>
      <c r="R67" s="291"/>
      <c r="S67" s="289" t="str">
        <f t="shared" si="2"/>
        <v/>
      </c>
      <c r="T67" s="289" t="str">
        <f t="shared" si="5"/>
        <v/>
      </c>
      <c r="U67" s="289" t="str">
        <f t="shared" si="6"/>
        <v/>
      </c>
      <c r="V67" s="244"/>
    </row>
    <row r="68" spans="1:26" ht="44.25" customHeight="1" x14ac:dyDescent="0.25">
      <c r="A68" s="228" t="str">
        <f>'2 CONTEXTO E IDENTIFICACIÓN'!A19</f>
        <v>R11</v>
      </c>
      <c r="B68" s="175" t="str">
        <f>+'2 CONTEXTO E IDENTIFICACIÓN'!J19</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C68" s="229">
        <f>+'3 PROBABIL E IMPACTO INHERENTE'!E19</f>
        <v>0.4</v>
      </c>
      <c r="D68" s="230">
        <f>+'3 PROBABIL E IMPACTO INHERENTE'!M19</f>
        <v>0.4</v>
      </c>
      <c r="E68" s="295">
        <v>1</v>
      </c>
      <c r="F68" s="286" t="s">
        <v>422</v>
      </c>
      <c r="G68" s="287" t="s">
        <v>423</v>
      </c>
      <c r="H68" s="287" t="s">
        <v>424</v>
      </c>
      <c r="I68" s="172" t="str">
        <f t="shared" si="0"/>
        <v>El director(a) administrativo(a) y financiero(a). Realizar seguimiento a la ejecucion de proyectos e iniciativas. Cuando aplique se realiza ajustes a los proyectos o reprogramación de iniciativas</v>
      </c>
      <c r="J68" s="288"/>
      <c r="K68" s="289" t="str">
        <f>+IFERROR(VLOOKUP($J68,'11 FORMULAS'!$B$53:$C$53,2,0),"")</f>
        <v/>
      </c>
      <c r="L68" s="289" t="str">
        <f t="shared" si="1"/>
        <v/>
      </c>
      <c r="M68" s="290"/>
      <c r="N68" s="289" t="str">
        <f>+IFERROR(VLOOKUP($M68,'11 FORMULAS'!$B$54:$C$55,2,0),"")</f>
        <v/>
      </c>
      <c r="O68" s="291"/>
      <c r="P68" s="291"/>
      <c r="Q68" s="291"/>
      <c r="R68" s="291"/>
      <c r="S68" s="289" t="str">
        <f t="shared" si="2"/>
        <v/>
      </c>
      <c r="T68" s="289" t="str">
        <f t="shared" si="5"/>
        <v/>
      </c>
      <c r="U68" s="289" t="str">
        <f t="shared" si="6"/>
        <v/>
      </c>
      <c r="V68" s="234">
        <f>+'3 PROBABIL E IMPACTO INHERENTE'!M19</f>
        <v>0.4</v>
      </c>
      <c r="X68" s="239"/>
      <c r="Y68" s="247"/>
      <c r="Z68" s="247"/>
    </row>
    <row r="69" spans="1:26" ht="44.25" customHeight="1" x14ac:dyDescent="0.25">
      <c r="A69" s="252"/>
      <c r="B69" s="188"/>
      <c r="C69" s="253"/>
      <c r="D69" s="254"/>
      <c r="E69" s="172">
        <v>2</v>
      </c>
      <c r="F69" s="298"/>
      <c r="G69" s="299"/>
      <c r="H69" s="299"/>
      <c r="I69" s="172" t="str">
        <f t="shared" si="0"/>
        <v xml:space="preserve">  </v>
      </c>
      <c r="J69" s="288"/>
      <c r="K69" s="289" t="str">
        <f>+IFERROR(VLOOKUP($J69,'11 FORMULAS'!$B$53:$C$53,2,0),"")</f>
        <v/>
      </c>
      <c r="L69" s="289" t="str">
        <f t="shared" si="1"/>
        <v/>
      </c>
      <c r="M69" s="290"/>
      <c r="N69" s="289" t="str">
        <f>+IFERROR(VLOOKUP($M69,'11 FORMULAS'!$B$54:$C$55,2,0),"")</f>
        <v/>
      </c>
      <c r="O69" s="291"/>
      <c r="P69" s="291"/>
      <c r="Q69" s="291"/>
      <c r="R69" s="291"/>
      <c r="S69" s="289" t="str">
        <f t="shared" si="2"/>
        <v/>
      </c>
      <c r="T69" s="289" t="str">
        <f t="shared" si="5"/>
        <v/>
      </c>
      <c r="U69" s="289" t="str">
        <f t="shared" si="6"/>
        <v/>
      </c>
      <c r="V69" s="238"/>
      <c r="X69" s="239"/>
      <c r="Y69" s="247"/>
      <c r="Z69" s="247"/>
    </row>
    <row r="70" spans="1:26" ht="44.25" customHeight="1" x14ac:dyDescent="0.25">
      <c r="A70" s="252"/>
      <c r="B70" s="188"/>
      <c r="C70" s="253"/>
      <c r="D70" s="254"/>
      <c r="E70" s="172">
        <v>3</v>
      </c>
      <c r="F70" s="298"/>
      <c r="G70" s="299"/>
      <c r="H70" s="299"/>
      <c r="I70" s="172" t="str">
        <f t="shared" si="0"/>
        <v xml:space="preserve">  </v>
      </c>
      <c r="J70" s="288"/>
      <c r="K70" s="289" t="str">
        <f>+IFERROR(VLOOKUP($J70,'11 FORMULAS'!$B$53:$C$53,2,0),"")</f>
        <v/>
      </c>
      <c r="L70" s="289" t="str">
        <f t="shared" si="1"/>
        <v/>
      </c>
      <c r="M70" s="290"/>
      <c r="N70" s="289" t="str">
        <f>+IFERROR(VLOOKUP($M70,'11 FORMULAS'!$B$54:$C$55,2,0),"")</f>
        <v/>
      </c>
      <c r="O70" s="291"/>
      <c r="P70" s="291"/>
      <c r="Q70" s="291"/>
      <c r="R70" s="291"/>
      <c r="S70" s="289" t="str">
        <f t="shared" si="2"/>
        <v/>
      </c>
      <c r="T70" s="289" t="str">
        <f t="shared" si="5"/>
        <v/>
      </c>
      <c r="U70" s="289" t="str">
        <f t="shared" si="6"/>
        <v/>
      </c>
      <c r="V70" s="238"/>
      <c r="X70" s="239"/>
      <c r="Y70" s="247"/>
      <c r="Z70" s="247"/>
    </row>
    <row r="71" spans="1:26" ht="44.25" customHeight="1" x14ac:dyDescent="0.25">
      <c r="A71" s="235"/>
      <c r="B71" s="180"/>
      <c r="C71" s="236"/>
      <c r="D71" s="237"/>
      <c r="E71" s="172">
        <v>4</v>
      </c>
      <c r="F71" s="292"/>
      <c r="G71" s="149"/>
      <c r="H71" s="149"/>
      <c r="I71" s="172" t="str">
        <f t="shared" si="0"/>
        <v xml:space="preserve">  </v>
      </c>
      <c r="J71" s="288"/>
      <c r="K71" s="289" t="str">
        <f>+IFERROR(VLOOKUP($J71,'11 FORMULAS'!$B$53:$C$53,2,0),"")</f>
        <v/>
      </c>
      <c r="L71" s="289" t="str">
        <f t="shared" si="1"/>
        <v/>
      </c>
      <c r="M71" s="290"/>
      <c r="N71" s="289" t="str">
        <f>+IFERROR(VLOOKUP($M71,'11 FORMULAS'!$B$54:$C$55,2,0),"")</f>
        <v/>
      </c>
      <c r="O71" s="291"/>
      <c r="P71" s="291"/>
      <c r="Q71" s="291"/>
      <c r="R71" s="291"/>
      <c r="S71" s="289" t="str">
        <f t="shared" si="2"/>
        <v/>
      </c>
      <c r="T71" s="289" t="str">
        <f t="shared" si="5"/>
        <v/>
      </c>
      <c r="U71" s="289" t="str">
        <f t="shared" si="6"/>
        <v/>
      </c>
      <c r="V71" s="238"/>
      <c r="X71" s="239"/>
      <c r="Y71" s="247"/>
      <c r="Z71" s="247"/>
    </row>
    <row r="72" spans="1:26" ht="44.25" customHeight="1" x14ac:dyDescent="0.25">
      <c r="A72" s="235"/>
      <c r="B72" s="180"/>
      <c r="C72" s="236"/>
      <c r="D72" s="237"/>
      <c r="E72" s="172">
        <v>5</v>
      </c>
      <c r="F72" s="292"/>
      <c r="G72" s="149"/>
      <c r="H72" s="149"/>
      <c r="I72" s="172" t="str">
        <f t="shared" ref="I72:I128" si="7">+CONCATENATE(F72," ",G72," ",H72)</f>
        <v xml:space="preserve">  </v>
      </c>
      <c r="J72" s="288"/>
      <c r="K72" s="289" t="str">
        <f>+IFERROR(VLOOKUP($J72,'11 FORMULAS'!$B$53:$C$53,2,0),"")</f>
        <v/>
      </c>
      <c r="L72" s="289" t="str">
        <f t="shared" si="1"/>
        <v/>
      </c>
      <c r="M72" s="290"/>
      <c r="N72" s="289" t="str">
        <f>+IFERROR(VLOOKUP($M72,'11 FORMULAS'!$B$54:$C$55,2,0),"")</f>
        <v/>
      </c>
      <c r="O72" s="291"/>
      <c r="P72" s="291"/>
      <c r="Q72" s="291"/>
      <c r="R72" s="291"/>
      <c r="S72" s="289" t="str">
        <f t="shared" si="2"/>
        <v/>
      </c>
      <c r="T72" s="289" t="str">
        <f t="shared" si="5"/>
        <v/>
      </c>
      <c r="U72" s="289" t="str">
        <f t="shared" si="6"/>
        <v/>
      </c>
      <c r="V72" s="238"/>
      <c r="X72" s="239"/>
      <c r="Y72" s="247"/>
      <c r="Z72" s="247"/>
    </row>
    <row r="73" spans="1:26" ht="44.25" customHeight="1" thickBot="1" x14ac:dyDescent="0.3">
      <c r="A73" s="240"/>
      <c r="B73" s="182"/>
      <c r="C73" s="241"/>
      <c r="D73" s="242"/>
      <c r="E73" s="131">
        <v>6</v>
      </c>
      <c r="F73" s="293"/>
      <c r="G73" s="294"/>
      <c r="H73" s="294"/>
      <c r="I73" s="172" t="str">
        <f t="shared" si="7"/>
        <v xml:space="preserve">  </v>
      </c>
      <c r="J73" s="288"/>
      <c r="K73" s="289" t="str">
        <f>+IFERROR(VLOOKUP($J73,'11 FORMULAS'!$B$53:$C$53,2,0),"")</f>
        <v/>
      </c>
      <c r="L73" s="289" t="str">
        <f t="shared" ref="L73:L127" si="8">+IF(J73="Correctivo","Impacto","")</f>
        <v/>
      </c>
      <c r="M73" s="290"/>
      <c r="N73" s="289" t="str">
        <f>+IFERROR(VLOOKUP($M73,'11 FORMULAS'!$B$54:$C$55,2,0),"")</f>
        <v/>
      </c>
      <c r="O73" s="291"/>
      <c r="P73" s="291"/>
      <c r="Q73" s="291"/>
      <c r="R73" s="291"/>
      <c r="S73" s="289" t="str">
        <f t="shared" ref="S73:S136" si="9">+IFERROR($K73+$N73,"")</f>
        <v/>
      </c>
      <c r="T73" s="289" t="str">
        <f t="shared" si="5"/>
        <v/>
      </c>
      <c r="U73" s="289" t="str">
        <f t="shared" si="6"/>
        <v/>
      </c>
      <c r="V73" s="244"/>
    </row>
    <row r="74" spans="1:26" ht="44.25" customHeight="1" x14ac:dyDescent="0.25">
      <c r="A74" s="228" t="str">
        <f>'2 CONTEXTO E IDENTIFICACIÓN'!A20</f>
        <v>R12</v>
      </c>
      <c r="B74" s="175" t="str">
        <f>+'2 CONTEXTO E IDENTIFICACIÓN'!J20</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C74" s="229">
        <f>+'3 PROBABIL E IMPACTO INHERENTE'!E20</f>
        <v>0.6</v>
      </c>
      <c r="D74" s="230">
        <f>+'3 PROBABIL E IMPACTO INHERENTE'!M20</f>
        <v>0.6</v>
      </c>
      <c r="E74" s="295">
        <v>1</v>
      </c>
      <c r="F74" s="286" t="s">
        <v>532</v>
      </c>
      <c r="G74" s="287" t="s">
        <v>430</v>
      </c>
      <c r="H74" s="287" t="s">
        <v>431</v>
      </c>
      <c r="I74" s="172" t="str">
        <f t="shared" si="7"/>
        <v>El(la) funcionario(a) responsable. Utilizar el formato donde se solicita al visitante datos relativos a elementos, dispositivos, equipos que ingresan a la Agencia. Al presentarse que un visitante no suministre datos, informa inmediatamente al superior jerárquico de la situación presentada para la toma de decisiones y seguir las indicaciones de forma inmediata.</v>
      </c>
      <c r="J74" s="288"/>
      <c r="K74" s="289" t="str">
        <f>+IFERROR(VLOOKUP($J74,'11 FORMULAS'!$B$53:$C$53,2,0),"")</f>
        <v/>
      </c>
      <c r="L74" s="289" t="str">
        <f t="shared" si="8"/>
        <v/>
      </c>
      <c r="M74" s="290"/>
      <c r="N74" s="289" t="str">
        <f>+IFERROR(VLOOKUP($M74,'11 FORMULAS'!$B$54:$C$55,2,0),"")</f>
        <v/>
      </c>
      <c r="O74" s="291"/>
      <c r="P74" s="291"/>
      <c r="Q74" s="291"/>
      <c r="R74" s="291"/>
      <c r="S74" s="289" t="str">
        <f t="shared" si="9"/>
        <v/>
      </c>
      <c r="T74" s="289" t="str">
        <f t="shared" si="5"/>
        <v/>
      </c>
      <c r="U74" s="289" t="str">
        <f t="shared" si="6"/>
        <v/>
      </c>
      <c r="V74" s="234">
        <f>+'3 PROBABIL E IMPACTO INHERENTE'!M20</f>
        <v>0.6</v>
      </c>
      <c r="X74" s="239"/>
      <c r="Y74" s="247"/>
      <c r="Z74" s="247"/>
    </row>
    <row r="75" spans="1:26" ht="44.25" customHeight="1" x14ac:dyDescent="0.25">
      <c r="A75" s="235"/>
      <c r="B75" s="180"/>
      <c r="C75" s="236"/>
      <c r="D75" s="237"/>
      <c r="E75" s="172">
        <v>2</v>
      </c>
      <c r="F75" s="292"/>
      <c r="G75" s="149"/>
      <c r="H75" s="149"/>
      <c r="I75" s="172" t="str">
        <f t="shared" si="7"/>
        <v xml:space="preserve">  </v>
      </c>
      <c r="J75" s="288"/>
      <c r="K75" s="289" t="str">
        <f>+IFERROR(VLOOKUP($J75,'11 FORMULAS'!$B$53:$C$53,2,0),"")</f>
        <v/>
      </c>
      <c r="L75" s="289" t="str">
        <f t="shared" si="8"/>
        <v/>
      </c>
      <c r="M75" s="290"/>
      <c r="N75" s="289" t="str">
        <f>+IFERROR(VLOOKUP($M75,'11 FORMULAS'!$B$54:$C$55,2,0),"")</f>
        <v/>
      </c>
      <c r="O75" s="291"/>
      <c r="P75" s="291"/>
      <c r="Q75" s="291"/>
      <c r="R75" s="291"/>
      <c r="S75" s="289" t="str">
        <f t="shared" si="9"/>
        <v/>
      </c>
      <c r="T75" s="289" t="str">
        <f t="shared" si="5"/>
        <v/>
      </c>
      <c r="U75" s="289" t="str">
        <f t="shared" si="6"/>
        <v/>
      </c>
      <c r="V75" s="238"/>
      <c r="X75" s="239"/>
      <c r="Y75" s="247"/>
      <c r="Z75" s="247"/>
    </row>
    <row r="76" spans="1:26" ht="44.25" customHeight="1" x14ac:dyDescent="0.25">
      <c r="A76" s="235"/>
      <c r="B76" s="180"/>
      <c r="C76" s="236"/>
      <c r="D76" s="237"/>
      <c r="E76" s="172">
        <v>3</v>
      </c>
      <c r="F76" s="292"/>
      <c r="G76" s="149"/>
      <c r="H76" s="149"/>
      <c r="I76" s="172" t="str">
        <f t="shared" si="7"/>
        <v xml:space="preserve">  </v>
      </c>
      <c r="J76" s="288"/>
      <c r="K76" s="289" t="str">
        <f>+IFERROR(VLOOKUP($J76,'11 FORMULAS'!$B$53:$C$53,2,0),"")</f>
        <v/>
      </c>
      <c r="L76" s="289" t="str">
        <f t="shared" si="8"/>
        <v/>
      </c>
      <c r="M76" s="290"/>
      <c r="N76" s="289" t="str">
        <f>+IFERROR(VLOOKUP($M76,'11 FORMULAS'!$B$54:$C$55,2,0),"")</f>
        <v/>
      </c>
      <c r="O76" s="291"/>
      <c r="P76" s="291"/>
      <c r="Q76" s="291"/>
      <c r="R76" s="291"/>
      <c r="S76" s="289" t="str">
        <f t="shared" si="9"/>
        <v/>
      </c>
      <c r="T76" s="289" t="str">
        <f t="shared" si="5"/>
        <v/>
      </c>
      <c r="U76" s="289" t="str">
        <f t="shared" si="6"/>
        <v/>
      </c>
      <c r="V76" s="238"/>
      <c r="X76" s="239"/>
      <c r="Y76" s="247"/>
      <c r="Z76" s="247"/>
    </row>
    <row r="77" spans="1:26" ht="44.25" customHeight="1" x14ac:dyDescent="0.25">
      <c r="A77" s="235"/>
      <c r="B77" s="180"/>
      <c r="C77" s="236"/>
      <c r="D77" s="237"/>
      <c r="E77" s="172">
        <v>4</v>
      </c>
      <c r="F77" s="292"/>
      <c r="G77" s="149"/>
      <c r="H77" s="149"/>
      <c r="I77" s="172" t="str">
        <f t="shared" si="7"/>
        <v xml:space="preserve">  </v>
      </c>
      <c r="J77" s="288"/>
      <c r="K77" s="289" t="str">
        <f>+IFERROR(VLOOKUP($J77,'11 FORMULAS'!$B$53:$C$53,2,0),"")</f>
        <v/>
      </c>
      <c r="L77" s="289" t="str">
        <f t="shared" si="8"/>
        <v/>
      </c>
      <c r="M77" s="290"/>
      <c r="N77" s="289" t="str">
        <f>+IFERROR(VLOOKUP($M77,'11 FORMULAS'!$B$54:$C$55,2,0),"")</f>
        <v/>
      </c>
      <c r="O77" s="291"/>
      <c r="P77" s="291"/>
      <c r="Q77" s="291"/>
      <c r="R77" s="291"/>
      <c r="S77" s="289" t="str">
        <f t="shared" si="9"/>
        <v/>
      </c>
      <c r="T77" s="289" t="str">
        <f t="shared" si="5"/>
        <v/>
      </c>
      <c r="U77" s="289" t="str">
        <f t="shared" si="6"/>
        <v/>
      </c>
      <c r="V77" s="238"/>
      <c r="X77" s="239"/>
      <c r="Y77" s="247"/>
      <c r="Z77" s="247"/>
    </row>
    <row r="78" spans="1:26" ht="44.25" customHeight="1" x14ac:dyDescent="0.25">
      <c r="A78" s="235"/>
      <c r="B78" s="180"/>
      <c r="C78" s="236"/>
      <c r="D78" s="237"/>
      <c r="E78" s="172">
        <v>5</v>
      </c>
      <c r="F78" s="292"/>
      <c r="G78" s="149"/>
      <c r="H78" s="149"/>
      <c r="I78" s="172" t="str">
        <f t="shared" si="7"/>
        <v xml:space="preserve">  </v>
      </c>
      <c r="J78" s="288"/>
      <c r="K78" s="289" t="str">
        <f>+IFERROR(VLOOKUP($J78,'11 FORMULAS'!$B$53:$C$53,2,0),"")</f>
        <v/>
      </c>
      <c r="L78" s="289" t="str">
        <f t="shared" si="8"/>
        <v/>
      </c>
      <c r="M78" s="290"/>
      <c r="N78" s="289" t="str">
        <f>+IFERROR(VLOOKUP($M78,'11 FORMULAS'!$B$54:$C$55,2,0),"")</f>
        <v/>
      </c>
      <c r="O78" s="291"/>
      <c r="P78" s="291"/>
      <c r="Q78" s="291"/>
      <c r="R78" s="291"/>
      <c r="S78" s="289" t="str">
        <f t="shared" si="9"/>
        <v/>
      </c>
      <c r="T78" s="289" t="str">
        <f t="shared" si="5"/>
        <v/>
      </c>
      <c r="U78" s="289" t="str">
        <f t="shared" si="6"/>
        <v/>
      </c>
      <c r="V78" s="238"/>
      <c r="X78" s="239"/>
      <c r="Y78" s="247"/>
      <c r="Z78" s="247"/>
    </row>
    <row r="79" spans="1:26" ht="44.25" customHeight="1" thickBot="1" x14ac:dyDescent="0.3">
      <c r="A79" s="240"/>
      <c r="B79" s="182"/>
      <c r="C79" s="241"/>
      <c r="D79" s="242"/>
      <c r="E79" s="131">
        <v>6</v>
      </c>
      <c r="F79" s="293"/>
      <c r="G79" s="294"/>
      <c r="H79" s="294"/>
      <c r="I79" s="172" t="str">
        <f t="shared" si="7"/>
        <v xml:space="preserve">  </v>
      </c>
      <c r="J79" s="288"/>
      <c r="K79" s="289" t="str">
        <f>+IFERROR(VLOOKUP($J79,'11 FORMULAS'!$B$53:$C$53,2,0),"")</f>
        <v/>
      </c>
      <c r="L79" s="289" t="str">
        <f t="shared" si="8"/>
        <v/>
      </c>
      <c r="M79" s="290"/>
      <c r="N79" s="289" t="str">
        <f>+IFERROR(VLOOKUP($M79,'11 FORMULAS'!$B$54:$C$55,2,0),"")</f>
        <v/>
      </c>
      <c r="O79" s="291"/>
      <c r="P79" s="291"/>
      <c r="Q79" s="291"/>
      <c r="R79" s="291"/>
      <c r="S79" s="289" t="str">
        <f t="shared" si="9"/>
        <v/>
      </c>
      <c r="T79" s="289" t="str">
        <f t="shared" si="5"/>
        <v/>
      </c>
      <c r="U79" s="289" t="str">
        <f t="shared" si="6"/>
        <v/>
      </c>
      <c r="V79" s="244"/>
    </row>
    <row r="80" spans="1:26" ht="44.25" customHeight="1" x14ac:dyDescent="0.25">
      <c r="A80" s="228" t="str">
        <f>'2 CONTEXTO E IDENTIFICACIÓN'!A21</f>
        <v>R13</v>
      </c>
      <c r="B80" s="175" t="str">
        <f>+'2 CONTEXTO E IDENTIFICACIÓN'!J21</f>
        <v>Posibilidad de afectación económica y reputacional por pérdidas economicas, de imagen y/o reputacionales. a causa de ingreso de personal sin autorización y falta de control en en los prestamos de documentación y/o activos.</v>
      </c>
      <c r="C80" s="229">
        <f>+'3 PROBABIL E IMPACTO INHERENTE'!E21</f>
        <v>0.6</v>
      </c>
      <c r="D80" s="230">
        <f>+'3 PROBABIL E IMPACTO INHERENTE'!M21</f>
        <v>0.6</v>
      </c>
      <c r="E80" s="295">
        <v>1</v>
      </c>
      <c r="F80" s="286" t="s">
        <v>532</v>
      </c>
      <c r="G80" s="287" t="s">
        <v>430</v>
      </c>
      <c r="H80" s="287" t="s">
        <v>431</v>
      </c>
      <c r="I80" s="172" t="str">
        <f t="shared" si="7"/>
        <v>El(la) funcionario(a) responsable. Utilizar el formato donde se solicita al visitante datos relativos a elementos, dispositivos, equipos que ingresan a la Agencia. Al presentarse que un visitante no suministre datos, informa inmediatamente al superior jerárquico de la situación presentada para la toma de decisiones y seguir las indicaciones de forma inmediata.</v>
      </c>
      <c r="J80" s="288"/>
      <c r="K80" s="289" t="str">
        <f>+IFERROR(VLOOKUP($J80,'11 FORMULAS'!$B$53:$C$53,2,0),"")</f>
        <v/>
      </c>
      <c r="L80" s="289" t="str">
        <f t="shared" si="8"/>
        <v/>
      </c>
      <c r="M80" s="290"/>
      <c r="N80" s="289" t="str">
        <f>+IFERROR(VLOOKUP($M80,'11 FORMULAS'!$B$54:$C$55,2,0),"")</f>
        <v/>
      </c>
      <c r="O80" s="291"/>
      <c r="P80" s="291"/>
      <c r="Q80" s="291"/>
      <c r="R80" s="291"/>
      <c r="S80" s="289" t="str">
        <f t="shared" si="9"/>
        <v/>
      </c>
      <c r="T80" s="289" t="str">
        <f t="shared" si="5"/>
        <v/>
      </c>
      <c r="U80" s="289" t="str">
        <f t="shared" si="6"/>
        <v/>
      </c>
      <c r="V80" s="234">
        <f>+'3 PROBABIL E IMPACTO INHERENTE'!M21</f>
        <v>0.6</v>
      </c>
      <c r="X80" s="239"/>
      <c r="Y80" s="247"/>
      <c r="Z80" s="247"/>
    </row>
    <row r="81" spans="1:26" ht="44.25" customHeight="1" x14ac:dyDescent="0.25">
      <c r="A81" s="235"/>
      <c r="B81" s="180"/>
      <c r="C81" s="236"/>
      <c r="D81" s="237"/>
      <c r="E81" s="172">
        <v>2</v>
      </c>
      <c r="F81" s="292"/>
      <c r="G81" s="149"/>
      <c r="H81" s="149"/>
      <c r="I81" s="172" t="str">
        <f t="shared" si="7"/>
        <v xml:space="preserve">  </v>
      </c>
      <c r="J81" s="288"/>
      <c r="K81" s="289" t="str">
        <f>+IFERROR(VLOOKUP($J81,'11 FORMULAS'!$B$53:$C$53,2,0),"")</f>
        <v/>
      </c>
      <c r="L81" s="289" t="str">
        <f t="shared" si="8"/>
        <v/>
      </c>
      <c r="M81" s="290"/>
      <c r="N81" s="289" t="str">
        <f>+IFERROR(VLOOKUP($M81,'11 FORMULAS'!$B$54:$C$55,2,0),"")</f>
        <v/>
      </c>
      <c r="O81" s="291"/>
      <c r="P81" s="291"/>
      <c r="Q81" s="291"/>
      <c r="R81" s="291"/>
      <c r="S81" s="289" t="str">
        <f t="shared" si="9"/>
        <v/>
      </c>
      <c r="T81" s="289" t="str">
        <f t="shared" si="5"/>
        <v/>
      </c>
      <c r="U81" s="289" t="str">
        <f t="shared" si="6"/>
        <v/>
      </c>
      <c r="V81" s="238"/>
      <c r="X81" s="239"/>
      <c r="Y81" s="247"/>
      <c r="Z81" s="247"/>
    </row>
    <row r="82" spans="1:26" ht="44.25" customHeight="1" x14ac:dyDescent="0.25">
      <c r="A82" s="235"/>
      <c r="B82" s="180"/>
      <c r="C82" s="236"/>
      <c r="D82" s="237"/>
      <c r="E82" s="172">
        <v>3</v>
      </c>
      <c r="F82" s="292"/>
      <c r="G82" s="149"/>
      <c r="H82" s="149"/>
      <c r="I82" s="172" t="str">
        <f t="shared" si="7"/>
        <v xml:space="preserve">  </v>
      </c>
      <c r="J82" s="288"/>
      <c r="K82" s="289" t="str">
        <f>+IFERROR(VLOOKUP($J82,'11 FORMULAS'!$B$53:$C$53,2,0),"")</f>
        <v/>
      </c>
      <c r="L82" s="289" t="str">
        <f t="shared" si="8"/>
        <v/>
      </c>
      <c r="M82" s="290"/>
      <c r="N82" s="289" t="str">
        <f>+IFERROR(VLOOKUP($M82,'11 FORMULAS'!$B$54:$C$55,2,0),"")</f>
        <v/>
      </c>
      <c r="O82" s="291"/>
      <c r="P82" s="291"/>
      <c r="Q82" s="291"/>
      <c r="R82" s="291"/>
      <c r="S82" s="289" t="str">
        <f t="shared" si="9"/>
        <v/>
      </c>
      <c r="T82" s="289" t="str">
        <f t="shared" si="5"/>
        <v/>
      </c>
      <c r="U82" s="289" t="str">
        <f t="shared" si="6"/>
        <v/>
      </c>
      <c r="V82" s="238"/>
      <c r="X82" s="239"/>
      <c r="Y82" s="247"/>
      <c r="Z82" s="247"/>
    </row>
    <row r="83" spans="1:26" ht="44.25" customHeight="1" x14ac:dyDescent="0.25">
      <c r="A83" s="235"/>
      <c r="B83" s="180"/>
      <c r="C83" s="236"/>
      <c r="D83" s="237"/>
      <c r="E83" s="172">
        <v>4</v>
      </c>
      <c r="F83" s="292"/>
      <c r="G83" s="149"/>
      <c r="H83" s="149"/>
      <c r="I83" s="172" t="str">
        <f t="shared" si="7"/>
        <v xml:space="preserve">  </v>
      </c>
      <c r="J83" s="288"/>
      <c r="K83" s="289" t="str">
        <f>+IFERROR(VLOOKUP($J83,'11 FORMULAS'!$B$53:$C$53,2,0),"")</f>
        <v/>
      </c>
      <c r="L83" s="289" t="str">
        <f t="shared" si="8"/>
        <v/>
      </c>
      <c r="M83" s="290"/>
      <c r="N83" s="289" t="str">
        <f>+IFERROR(VLOOKUP($M83,'11 FORMULAS'!$B$54:$C$55,2,0),"")</f>
        <v/>
      </c>
      <c r="O83" s="291"/>
      <c r="P83" s="291"/>
      <c r="Q83" s="291"/>
      <c r="R83" s="291"/>
      <c r="S83" s="289" t="str">
        <f t="shared" si="9"/>
        <v/>
      </c>
      <c r="T83" s="289" t="str">
        <f t="shared" si="5"/>
        <v/>
      </c>
      <c r="U83" s="289" t="str">
        <f t="shared" si="6"/>
        <v/>
      </c>
      <c r="V83" s="238"/>
      <c r="X83" s="239"/>
      <c r="Y83" s="247"/>
      <c r="Z83" s="247"/>
    </row>
    <row r="84" spans="1:26" ht="44.25" customHeight="1" x14ac:dyDescent="0.25">
      <c r="A84" s="235"/>
      <c r="B84" s="180"/>
      <c r="C84" s="236"/>
      <c r="D84" s="237"/>
      <c r="E84" s="172">
        <v>5</v>
      </c>
      <c r="F84" s="292"/>
      <c r="G84" s="149"/>
      <c r="H84" s="149"/>
      <c r="I84" s="172" t="str">
        <f t="shared" si="7"/>
        <v xml:space="preserve">  </v>
      </c>
      <c r="J84" s="288"/>
      <c r="K84" s="289" t="str">
        <f>+IFERROR(VLOOKUP($J84,'11 FORMULAS'!$B$53:$C$53,2,0),"")</f>
        <v/>
      </c>
      <c r="L84" s="289" t="str">
        <f t="shared" si="8"/>
        <v/>
      </c>
      <c r="M84" s="290"/>
      <c r="N84" s="289" t="str">
        <f>+IFERROR(VLOOKUP($M84,'11 FORMULAS'!$B$54:$C$55,2,0),"")</f>
        <v/>
      </c>
      <c r="O84" s="291"/>
      <c r="P84" s="291"/>
      <c r="Q84" s="291"/>
      <c r="R84" s="291"/>
      <c r="S84" s="289" t="str">
        <f t="shared" si="9"/>
        <v/>
      </c>
      <c r="T84" s="289" t="str">
        <f t="shared" ref="T84:T115" si="10">+IFERROR(D84*S84,"")</f>
        <v/>
      </c>
      <c r="U84" s="289" t="str">
        <f t="shared" ref="U84:U115" si="11">+IFERROR(D84-T84,"")</f>
        <v/>
      </c>
      <c r="V84" s="238"/>
      <c r="X84" s="239"/>
      <c r="Y84" s="247"/>
      <c r="Z84" s="247"/>
    </row>
    <row r="85" spans="1:26" ht="44.25" customHeight="1" thickBot="1" x14ac:dyDescent="0.3">
      <c r="A85" s="240"/>
      <c r="B85" s="182"/>
      <c r="C85" s="241"/>
      <c r="D85" s="242"/>
      <c r="E85" s="131">
        <v>6</v>
      </c>
      <c r="F85" s="293"/>
      <c r="G85" s="294"/>
      <c r="H85" s="294"/>
      <c r="I85" s="172" t="str">
        <f t="shared" si="7"/>
        <v xml:space="preserve">  </v>
      </c>
      <c r="J85" s="288"/>
      <c r="K85" s="289" t="str">
        <f>+IFERROR(VLOOKUP($J85,'11 FORMULAS'!$B$53:$C$53,2,0),"")</f>
        <v/>
      </c>
      <c r="L85" s="289" t="str">
        <f t="shared" si="8"/>
        <v/>
      </c>
      <c r="M85" s="290"/>
      <c r="N85" s="289" t="str">
        <f>+IFERROR(VLOOKUP($M85,'11 FORMULAS'!$B$54:$C$55,2,0),"")</f>
        <v/>
      </c>
      <c r="O85" s="291"/>
      <c r="P85" s="291"/>
      <c r="Q85" s="291"/>
      <c r="R85" s="291"/>
      <c r="S85" s="289" t="str">
        <f t="shared" si="9"/>
        <v/>
      </c>
      <c r="T85" s="289" t="str">
        <f t="shared" si="10"/>
        <v/>
      </c>
      <c r="U85" s="289" t="str">
        <f t="shared" si="11"/>
        <v/>
      </c>
      <c r="V85" s="244"/>
    </row>
    <row r="86" spans="1:26" ht="44.25" customHeight="1" x14ac:dyDescent="0.25">
      <c r="A86" s="228" t="str">
        <f>'2 CONTEXTO E IDENTIFICACIÓN'!A22</f>
        <v>R14</v>
      </c>
      <c r="B86" s="175" t="str">
        <f>+'2 CONTEXTO E IDENTIFICACIÓN'!J22</f>
        <v>Posibilidad de afectación económica y reputacional por susceptible a retrasos en los procesos internos por falta de la información requerida. a causa de  a ingreso de personal no autorizado y falta de control en el préstamo de expedientes.</v>
      </c>
      <c r="C86" s="229">
        <f>+'3 PROBABIL E IMPACTO INHERENTE'!E22</f>
        <v>0.6</v>
      </c>
      <c r="D86" s="230">
        <f>+'3 PROBABIL E IMPACTO INHERENTE'!M22</f>
        <v>0.6</v>
      </c>
      <c r="E86" s="295">
        <v>1</v>
      </c>
      <c r="F86" s="286" t="s">
        <v>429</v>
      </c>
      <c r="G86" s="287" t="s">
        <v>430</v>
      </c>
      <c r="H86" s="287" t="s">
        <v>431</v>
      </c>
      <c r="I86" s="172" t="str">
        <f t="shared" si="7"/>
        <v xml:space="preserve"> El(la) funcionario(a) responsable. Utilizar el formato donde se solicita al visitante datos relativos a elementos, dispositivos, equipos que ingresan a la Agencia. Al presentarse que un visitante no suministre datos, informa inmediatamente al superior jerárquico de la situación presentada para la toma de decisiones y seguir las indicaciones de forma inmediata.</v>
      </c>
      <c r="J86" s="288"/>
      <c r="K86" s="289" t="str">
        <f>+IFERROR(VLOOKUP($J86,'11 FORMULAS'!$B$53:$C$53,2,0),"")</f>
        <v/>
      </c>
      <c r="L86" s="289" t="str">
        <f t="shared" si="8"/>
        <v/>
      </c>
      <c r="M86" s="290"/>
      <c r="N86" s="289" t="str">
        <f>+IFERROR(VLOOKUP($M86,'11 FORMULAS'!$B$54:$C$55,2,0),"")</f>
        <v/>
      </c>
      <c r="O86" s="291"/>
      <c r="P86" s="291"/>
      <c r="Q86" s="291"/>
      <c r="R86" s="291"/>
      <c r="S86" s="289" t="str">
        <f t="shared" si="9"/>
        <v/>
      </c>
      <c r="T86" s="289" t="str">
        <f t="shared" si="10"/>
        <v/>
      </c>
      <c r="U86" s="289" t="str">
        <f t="shared" si="11"/>
        <v/>
      </c>
      <c r="V86" s="234">
        <f>+'3 PROBABIL E IMPACTO INHERENTE'!M22</f>
        <v>0.6</v>
      </c>
      <c r="X86" s="239"/>
      <c r="Y86" s="247"/>
      <c r="Z86" s="247"/>
    </row>
    <row r="87" spans="1:26" ht="44.25" customHeight="1" x14ac:dyDescent="0.25">
      <c r="A87" s="235"/>
      <c r="B87" s="180"/>
      <c r="C87" s="236"/>
      <c r="D87" s="237"/>
      <c r="E87" s="172">
        <v>2</v>
      </c>
      <c r="F87" s="292"/>
      <c r="G87" s="149"/>
      <c r="H87" s="149"/>
      <c r="I87" s="172" t="str">
        <f t="shared" si="7"/>
        <v xml:space="preserve">  </v>
      </c>
      <c r="J87" s="288"/>
      <c r="K87" s="289" t="str">
        <f>+IFERROR(VLOOKUP($J87,'11 FORMULAS'!$B$53:$C$53,2,0),"")</f>
        <v/>
      </c>
      <c r="L87" s="289" t="str">
        <f t="shared" si="8"/>
        <v/>
      </c>
      <c r="M87" s="290"/>
      <c r="N87" s="289" t="str">
        <f>+IFERROR(VLOOKUP($M87,'11 FORMULAS'!$B$54:$C$55,2,0),"")</f>
        <v/>
      </c>
      <c r="O87" s="291"/>
      <c r="P87" s="291"/>
      <c r="Q87" s="291"/>
      <c r="R87" s="291"/>
      <c r="S87" s="289" t="str">
        <f t="shared" si="9"/>
        <v/>
      </c>
      <c r="T87" s="289" t="str">
        <f t="shared" si="10"/>
        <v/>
      </c>
      <c r="U87" s="289" t="str">
        <f t="shared" si="11"/>
        <v/>
      </c>
      <c r="V87" s="238"/>
      <c r="X87" s="239"/>
      <c r="Y87" s="247"/>
      <c r="Z87" s="247"/>
    </row>
    <row r="88" spans="1:26" ht="44.25" customHeight="1" x14ac:dyDescent="0.25">
      <c r="A88" s="235"/>
      <c r="B88" s="180"/>
      <c r="C88" s="236"/>
      <c r="D88" s="237"/>
      <c r="E88" s="172">
        <v>3</v>
      </c>
      <c r="F88" s="292"/>
      <c r="G88" s="149"/>
      <c r="H88" s="149"/>
      <c r="I88" s="172" t="str">
        <f t="shared" si="7"/>
        <v xml:space="preserve">  </v>
      </c>
      <c r="J88" s="288"/>
      <c r="K88" s="289" t="str">
        <f>+IFERROR(VLOOKUP($J88,'11 FORMULAS'!$B$53:$C$53,2,0),"")</f>
        <v/>
      </c>
      <c r="L88" s="289" t="str">
        <f t="shared" si="8"/>
        <v/>
      </c>
      <c r="M88" s="290"/>
      <c r="N88" s="289" t="str">
        <f>+IFERROR(VLOOKUP($M88,'11 FORMULAS'!$B$54:$C$55,2,0),"")</f>
        <v/>
      </c>
      <c r="O88" s="291"/>
      <c r="P88" s="291"/>
      <c r="Q88" s="291"/>
      <c r="R88" s="291"/>
      <c r="S88" s="289" t="str">
        <f t="shared" si="9"/>
        <v/>
      </c>
      <c r="T88" s="289" t="str">
        <f t="shared" si="10"/>
        <v/>
      </c>
      <c r="U88" s="289" t="str">
        <f t="shared" si="11"/>
        <v/>
      </c>
      <c r="V88" s="238"/>
      <c r="X88" s="239"/>
      <c r="Y88" s="247"/>
      <c r="Z88" s="247"/>
    </row>
    <row r="89" spans="1:26" ht="44.25" customHeight="1" x14ac:dyDescent="0.25">
      <c r="A89" s="235"/>
      <c r="B89" s="180"/>
      <c r="C89" s="236"/>
      <c r="D89" s="237"/>
      <c r="E89" s="172">
        <v>4</v>
      </c>
      <c r="F89" s="292"/>
      <c r="G89" s="149"/>
      <c r="H89" s="149"/>
      <c r="I89" s="172" t="str">
        <f t="shared" si="7"/>
        <v xml:space="preserve">  </v>
      </c>
      <c r="J89" s="288"/>
      <c r="K89" s="289" t="str">
        <f>+IFERROR(VLOOKUP($J89,'11 FORMULAS'!$B$53:$C$53,2,0),"")</f>
        <v/>
      </c>
      <c r="L89" s="289" t="str">
        <f t="shared" si="8"/>
        <v/>
      </c>
      <c r="M89" s="290"/>
      <c r="N89" s="289" t="str">
        <f>+IFERROR(VLOOKUP($M89,'11 FORMULAS'!$B$54:$C$55,2,0),"")</f>
        <v/>
      </c>
      <c r="O89" s="291"/>
      <c r="P89" s="291"/>
      <c r="Q89" s="291"/>
      <c r="R89" s="291"/>
      <c r="S89" s="289" t="str">
        <f t="shared" si="9"/>
        <v/>
      </c>
      <c r="T89" s="289" t="str">
        <f t="shared" si="10"/>
        <v/>
      </c>
      <c r="U89" s="289" t="str">
        <f t="shared" si="11"/>
        <v/>
      </c>
      <c r="V89" s="238"/>
      <c r="X89" s="239"/>
      <c r="Y89" s="247"/>
      <c r="Z89" s="247"/>
    </row>
    <row r="90" spans="1:26" ht="44.25" customHeight="1" x14ac:dyDescent="0.25">
      <c r="A90" s="235"/>
      <c r="B90" s="180"/>
      <c r="C90" s="236"/>
      <c r="D90" s="237"/>
      <c r="E90" s="172">
        <v>5</v>
      </c>
      <c r="F90" s="292"/>
      <c r="G90" s="149"/>
      <c r="H90" s="149"/>
      <c r="I90" s="172" t="str">
        <f t="shared" si="7"/>
        <v xml:space="preserve">  </v>
      </c>
      <c r="J90" s="288"/>
      <c r="K90" s="289" t="str">
        <f>+IFERROR(VLOOKUP($J90,'11 FORMULAS'!$B$53:$C$53,2,0),"")</f>
        <v/>
      </c>
      <c r="L90" s="289" t="str">
        <f t="shared" si="8"/>
        <v/>
      </c>
      <c r="M90" s="290"/>
      <c r="N90" s="289" t="str">
        <f>+IFERROR(VLOOKUP($M90,'11 FORMULAS'!$B$54:$C$55,2,0),"")</f>
        <v/>
      </c>
      <c r="O90" s="291"/>
      <c r="P90" s="291"/>
      <c r="Q90" s="291"/>
      <c r="R90" s="291"/>
      <c r="S90" s="289" t="str">
        <f t="shared" si="9"/>
        <v/>
      </c>
      <c r="T90" s="289" t="str">
        <f t="shared" si="10"/>
        <v/>
      </c>
      <c r="U90" s="289" t="str">
        <f t="shared" si="11"/>
        <v/>
      </c>
      <c r="V90" s="238"/>
      <c r="X90" s="239"/>
      <c r="Y90" s="247"/>
      <c r="Z90" s="247"/>
    </row>
    <row r="91" spans="1:26" ht="44.25" customHeight="1" thickBot="1" x14ac:dyDescent="0.3">
      <c r="A91" s="240"/>
      <c r="B91" s="182"/>
      <c r="C91" s="241"/>
      <c r="D91" s="242"/>
      <c r="E91" s="131">
        <v>6</v>
      </c>
      <c r="F91" s="293"/>
      <c r="G91" s="294"/>
      <c r="H91" s="294"/>
      <c r="I91" s="172" t="str">
        <f t="shared" si="7"/>
        <v xml:space="preserve">  </v>
      </c>
      <c r="J91" s="288"/>
      <c r="K91" s="289" t="str">
        <f>+IFERROR(VLOOKUP($J91,'11 FORMULAS'!$B$53:$C$53,2,0),"")</f>
        <v/>
      </c>
      <c r="L91" s="289" t="str">
        <f t="shared" si="8"/>
        <v/>
      </c>
      <c r="M91" s="290"/>
      <c r="N91" s="289" t="str">
        <f>+IFERROR(VLOOKUP($M91,'11 FORMULAS'!$B$54:$C$55,2,0),"")</f>
        <v/>
      </c>
      <c r="O91" s="291"/>
      <c r="P91" s="291"/>
      <c r="Q91" s="291"/>
      <c r="R91" s="291"/>
      <c r="S91" s="289" t="str">
        <f t="shared" si="9"/>
        <v/>
      </c>
      <c r="T91" s="289" t="str">
        <f t="shared" si="10"/>
        <v/>
      </c>
      <c r="U91" s="289" t="str">
        <f t="shared" si="11"/>
        <v/>
      </c>
      <c r="V91" s="244"/>
    </row>
    <row r="92" spans="1:26" ht="44.25" customHeight="1" x14ac:dyDescent="0.25">
      <c r="A92" s="228" t="str">
        <f>'2 CONTEXTO E IDENTIFICACIÓN'!A23</f>
        <v>R15</v>
      </c>
      <c r="B92" s="175" t="str">
        <f>+'2 CONTEXTO E IDENTIFICACIÓN'!J23</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C92" s="229">
        <f>+'3 PROBABIL E IMPACTO INHERENTE'!E23</f>
        <v>0.8</v>
      </c>
      <c r="D92" s="230">
        <f>+'3 PROBABIL E IMPACTO INHERENTE'!M23</f>
        <v>0.6</v>
      </c>
      <c r="E92" s="295">
        <v>1</v>
      </c>
      <c r="F92" s="286" t="s">
        <v>432</v>
      </c>
      <c r="G92" s="287" t="s">
        <v>433</v>
      </c>
      <c r="H92" s="287" t="s">
        <v>434</v>
      </c>
      <c r="I92" s="172" t="str">
        <f t="shared" si="7"/>
        <v>El(la) profesional encargado(a) de gestionar las PQRSD.
Responsable técnico programación alarma: El(la) funcionario tecnico responsable de GIT de la Tecnologias de la información. Alarma programada en el Sistema de gestión documental de la  entidad, para el envio a los colaboradores con el fin de recordar el plazo y tiempos de respuesta para tramitar la PQRSD. Esta se envia en dos oportunidades a los colaboradores resposable del tramite de la PQRSD durante la jornada laboral. En caso de presentarse alguna novedad con la notificación de la alarma, el proceso de Servicios al Ciudadano comunica al área de Gestión de Tecnologías de la Información, por medio de los diferentes canales de comunicación habilitados para el reporte de dichas inconsistencias, para su revisión y solución. Además, desde la cuenta de PQRSD se envía un recordatorio por correo electrónico al servidor público encargado, detallando el plazo y los tiempos de respuesta de la solicitud.</v>
      </c>
      <c r="J92" s="288"/>
      <c r="K92" s="289" t="str">
        <f>+IFERROR(VLOOKUP($J92,'11 FORMULAS'!$B$53:$C$53,2,0),"")</f>
        <v/>
      </c>
      <c r="L92" s="289" t="str">
        <f t="shared" si="8"/>
        <v/>
      </c>
      <c r="M92" s="290"/>
      <c r="N92" s="289" t="str">
        <f>+IFERROR(VLOOKUP($M92,'11 FORMULAS'!$B$54:$C$55,2,0),"")</f>
        <v/>
      </c>
      <c r="O92" s="291"/>
      <c r="P92" s="291"/>
      <c r="Q92" s="291"/>
      <c r="R92" s="291"/>
      <c r="S92" s="289" t="str">
        <f t="shared" si="9"/>
        <v/>
      </c>
      <c r="T92" s="289" t="str">
        <f t="shared" si="10"/>
        <v/>
      </c>
      <c r="U92" s="289" t="str">
        <f t="shared" si="11"/>
        <v/>
      </c>
      <c r="V92" s="234">
        <f>+'3 PROBABIL E IMPACTO INHERENTE'!M23</f>
        <v>0.6</v>
      </c>
      <c r="X92" s="239"/>
      <c r="Y92" s="247"/>
      <c r="Z92" s="247"/>
    </row>
    <row r="93" spans="1:26" ht="44.25" customHeight="1" x14ac:dyDescent="0.25">
      <c r="A93" s="235"/>
      <c r="B93" s="180"/>
      <c r="C93" s="236"/>
      <c r="D93" s="237"/>
      <c r="E93" s="172">
        <v>2</v>
      </c>
      <c r="F93" s="292"/>
      <c r="G93" s="149"/>
      <c r="H93" s="149"/>
      <c r="I93" s="172" t="str">
        <f t="shared" si="7"/>
        <v xml:space="preserve">  </v>
      </c>
      <c r="J93" s="288"/>
      <c r="K93" s="289" t="str">
        <f>+IFERROR(VLOOKUP($J93,'11 FORMULAS'!$B$53:$C$53,2,0),"")</f>
        <v/>
      </c>
      <c r="L93" s="289" t="str">
        <f t="shared" si="8"/>
        <v/>
      </c>
      <c r="M93" s="290"/>
      <c r="N93" s="289" t="str">
        <f>+IFERROR(VLOOKUP($M93,'11 FORMULAS'!$B$54:$C$55,2,0),"")</f>
        <v/>
      </c>
      <c r="O93" s="291"/>
      <c r="P93" s="291"/>
      <c r="Q93" s="291"/>
      <c r="R93" s="291"/>
      <c r="S93" s="289" t="str">
        <f t="shared" si="9"/>
        <v/>
      </c>
      <c r="T93" s="289" t="str">
        <f t="shared" si="10"/>
        <v/>
      </c>
      <c r="U93" s="289" t="str">
        <f t="shared" si="11"/>
        <v/>
      </c>
      <c r="V93" s="238"/>
      <c r="X93" s="239"/>
      <c r="Y93" s="247"/>
      <c r="Z93" s="247"/>
    </row>
    <row r="94" spans="1:26" ht="44.25" customHeight="1" x14ac:dyDescent="0.25">
      <c r="A94" s="235"/>
      <c r="B94" s="180"/>
      <c r="C94" s="236"/>
      <c r="D94" s="237"/>
      <c r="E94" s="172">
        <v>3</v>
      </c>
      <c r="F94" s="292"/>
      <c r="G94" s="149"/>
      <c r="H94" s="149"/>
      <c r="I94" s="172" t="str">
        <f t="shared" si="7"/>
        <v xml:space="preserve">  </v>
      </c>
      <c r="J94" s="288"/>
      <c r="K94" s="289" t="str">
        <f>+IFERROR(VLOOKUP($J94,'11 FORMULAS'!$B$53:$C$53,2,0),"")</f>
        <v/>
      </c>
      <c r="L94" s="289" t="str">
        <f t="shared" si="8"/>
        <v/>
      </c>
      <c r="M94" s="290"/>
      <c r="N94" s="289" t="str">
        <f>+IFERROR(VLOOKUP($M94,'11 FORMULAS'!$B$54:$C$55,2,0),"")</f>
        <v/>
      </c>
      <c r="O94" s="291"/>
      <c r="P94" s="291"/>
      <c r="Q94" s="291"/>
      <c r="R94" s="291"/>
      <c r="S94" s="289" t="str">
        <f t="shared" si="9"/>
        <v/>
      </c>
      <c r="T94" s="289" t="str">
        <f t="shared" si="10"/>
        <v/>
      </c>
      <c r="U94" s="289" t="str">
        <f t="shared" si="11"/>
        <v/>
      </c>
      <c r="V94" s="238"/>
      <c r="X94" s="239"/>
      <c r="Y94" s="247"/>
      <c r="Z94" s="247"/>
    </row>
    <row r="95" spans="1:26" ht="44.25" customHeight="1" x14ac:dyDescent="0.25">
      <c r="A95" s="235"/>
      <c r="B95" s="180"/>
      <c r="C95" s="236"/>
      <c r="D95" s="237"/>
      <c r="E95" s="172">
        <v>4</v>
      </c>
      <c r="F95" s="292"/>
      <c r="G95" s="149"/>
      <c r="H95" s="149"/>
      <c r="I95" s="172" t="str">
        <f t="shared" si="7"/>
        <v xml:space="preserve">  </v>
      </c>
      <c r="J95" s="288"/>
      <c r="K95" s="289" t="str">
        <f>+IFERROR(VLOOKUP($J95,'11 FORMULAS'!$B$53:$C$53,2,0),"")</f>
        <v/>
      </c>
      <c r="L95" s="289" t="str">
        <f t="shared" si="8"/>
        <v/>
      </c>
      <c r="M95" s="290"/>
      <c r="N95" s="289" t="str">
        <f>+IFERROR(VLOOKUP($M95,'11 FORMULAS'!$B$54:$C$55,2,0),"")</f>
        <v/>
      </c>
      <c r="O95" s="291"/>
      <c r="P95" s="291"/>
      <c r="Q95" s="291"/>
      <c r="R95" s="291"/>
      <c r="S95" s="289" t="str">
        <f t="shared" si="9"/>
        <v/>
      </c>
      <c r="T95" s="289" t="str">
        <f t="shared" si="10"/>
        <v/>
      </c>
      <c r="U95" s="289" t="str">
        <f t="shared" si="11"/>
        <v/>
      </c>
      <c r="V95" s="238"/>
      <c r="X95" s="239"/>
      <c r="Y95" s="247"/>
      <c r="Z95" s="247"/>
    </row>
    <row r="96" spans="1:26" ht="44.25" customHeight="1" x14ac:dyDescent="0.25">
      <c r="A96" s="235"/>
      <c r="B96" s="180"/>
      <c r="C96" s="236"/>
      <c r="D96" s="237"/>
      <c r="E96" s="172">
        <v>5</v>
      </c>
      <c r="F96" s="292"/>
      <c r="G96" s="149"/>
      <c r="H96" s="149"/>
      <c r="I96" s="172" t="str">
        <f t="shared" si="7"/>
        <v xml:space="preserve">  </v>
      </c>
      <c r="J96" s="288"/>
      <c r="K96" s="289" t="str">
        <f>+IFERROR(VLOOKUP($J96,'11 FORMULAS'!$B$53:$C$53,2,0),"")</f>
        <v/>
      </c>
      <c r="L96" s="289" t="str">
        <f t="shared" si="8"/>
        <v/>
      </c>
      <c r="M96" s="290"/>
      <c r="N96" s="289" t="str">
        <f>+IFERROR(VLOOKUP($M96,'11 FORMULAS'!$B$54:$C$55,2,0),"")</f>
        <v/>
      </c>
      <c r="O96" s="291"/>
      <c r="P96" s="291"/>
      <c r="Q96" s="291"/>
      <c r="R96" s="291"/>
      <c r="S96" s="289" t="str">
        <f t="shared" si="9"/>
        <v/>
      </c>
      <c r="T96" s="289" t="str">
        <f t="shared" si="10"/>
        <v/>
      </c>
      <c r="U96" s="289" t="str">
        <f t="shared" si="11"/>
        <v/>
      </c>
      <c r="V96" s="238"/>
      <c r="X96" s="239"/>
      <c r="Y96" s="247"/>
      <c r="Z96" s="247"/>
    </row>
    <row r="97" spans="1:26" ht="44.25" customHeight="1" thickBot="1" x14ac:dyDescent="0.3">
      <c r="A97" s="240"/>
      <c r="B97" s="182"/>
      <c r="C97" s="241"/>
      <c r="D97" s="242"/>
      <c r="E97" s="131">
        <v>6</v>
      </c>
      <c r="F97" s="293"/>
      <c r="G97" s="294"/>
      <c r="H97" s="294"/>
      <c r="I97" s="172" t="str">
        <f t="shared" si="7"/>
        <v xml:space="preserve">  </v>
      </c>
      <c r="J97" s="288"/>
      <c r="K97" s="289" t="str">
        <f>+IFERROR(VLOOKUP($J97,'11 FORMULAS'!$B$53:$C$53,2,0),"")</f>
        <v/>
      </c>
      <c r="L97" s="289" t="str">
        <f t="shared" si="8"/>
        <v/>
      </c>
      <c r="M97" s="290"/>
      <c r="N97" s="289" t="str">
        <f>+IFERROR(VLOOKUP($M97,'11 FORMULAS'!$B$54:$C$55,2,0),"")</f>
        <v/>
      </c>
      <c r="O97" s="291"/>
      <c r="P97" s="291"/>
      <c r="Q97" s="291"/>
      <c r="R97" s="291"/>
      <c r="S97" s="289" t="str">
        <f t="shared" si="9"/>
        <v/>
      </c>
      <c r="T97" s="289" t="str">
        <f t="shared" si="10"/>
        <v/>
      </c>
      <c r="U97" s="289" t="str">
        <f t="shared" si="11"/>
        <v/>
      </c>
      <c r="V97" s="244"/>
    </row>
    <row r="98" spans="1:26" ht="44.25" customHeight="1" x14ac:dyDescent="0.25">
      <c r="A98" s="228" t="str">
        <f>'2 CONTEXTO E IDENTIFICACIÓN'!A24</f>
        <v>R16</v>
      </c>
      <c r="B98" s="175" t="str">
        <f>+'2 CONTEXTO E IDENTIFICACIÓN'!J24</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C98" s="229">
        <f>+'3 PROBABIL E IMPACTO INHERENTE'!E24</f>
        <v>0.4</v>
      </c>
      <c r="D98" s="230">
        <f>+'3 PROBABIL E IMPACTO INHERENTE'!M24</f>
        <v>0.4</v>
      </c>
      <c r="E98" s="295">
        <v>1</v>
      </c>
      <c r="F98" s="286" t="s">
        <v>435</v>
      </c>
      <c r="G98" s="287" t="s">
        <v>436</v>
      </c>
      <c r="H98" s="287" t="s">
        <v>437</v>
      </c>
      <c r="I98" s="172" t="str">
        <f t="shared" si="7"/>
        <v xml:space="preserve"> El(la) profesional especializado(a) con funciones de tesorería. Gestionar las solicitudes de PAC de las direcciones / dependencias ejecutoras ante el Ministerio de Hacienda. En caso de no ser aprobadas las solicitudes de PAC en su totalidad o se requiera de una solicitud adicional de PAC, gestiona en SIIF Nación una nueva solicitud como  PAC extraordinario. De no ser aprobado el PAC extraordinario, se da prioridad al pago de los compromisos próximos a vencerse.</v>
      </c>
      <c r="J98" s="288"/>
      <c r="K98" s="289" t="str">
        <f>+IFERROR(VLOOKUP($J98,'11 FORMULAS'!$B$53:$C$53,2,0),"")</f>
        <v/>
      </c>
      <c r="L98" s="289" t="str">
        <f t="shared" si="8"/>
        <v/>
      </c>
      <c r="M98" s="290"/>
      <c r="N98" s="289" t="str">
        <f>+IFERROR(VLOOKUP($M98,'11 FORMULAS'!$B$54:$C$55,2,0),"")</f>
        <v/>
      </c>
      <c r="O98" s="291"/>
      <c r="P98" s="291"/>
      <c r="Q98" s="291"/>
      <c r="R98" s="291"/>
      <c r="S98" s="289" t="str">
        <f t="shared" si="9"/>
        <v/>
      </c>
      <c r="T98" s="289" t="str">
        <f t="shared" si="10"/>
        <v/>
      </c>
      <c r="U98" s="289" t="str">
        <f t="shared" si="11"/>
        <v/>
      </c>
      <c r="V98" s="234">
        <f>+'3 PROBABIL E IMPACTO INHERENTE'!M24</f>
        <v>0.4</v>
      </c>
      <c r="X98" s="239"/>
      <c r="Y98" s="247"/>
      <c r="Z98" s="247"/>
    </row>
    <row r="99" spans="1:26" ht="44.25" customHeight="1" x14ac:dyDescent="0.25">
      <c r="A99" s="235"/>
      <c r="B99" s="180"/>
      <c r="C99" s="236"/>
      <c r="D99" s="237"/>
      <c r="E99" s="172">
        <v>2</v>
      </c>
      <c r="F99" s="292" t="s">
        <v>435</v>
      </c>
      <c r="G99" s="149" t="s">
        <v>438</v>
      </c>
      <c r="H99" s="149" t="s">
        <v>439</v>
      </c>
      <c r="I99" s="172" t="str">
        <f t="shared" si="7"/>
        <v xml:space="preserve"> El(la) profesional especializado(a) con funciones de tesorería. Realizar seguimiento a las solicitudes y ejecución de PAC. De no obtenerse el radicado de cuentas por pagar pendientes para las cuales las áreas solicitaron PAC, se dará trámite a aquellas que ya se encuentren radicadas en DAF, aún sin haber tenido solicitud de PAC previa.</v>
      </c>
      <c r="J99" s="288"/>
      <c r="K99" s="289" t="str">
        <f>+IFERROR(VLOOKUP($J99,'11 FORMULAS'!$B$53:$C$53,2,0),"")</f>
        <v/>
      </c>
      <c r="L99" s="289" t="str">
        <f t="shared" si="8"/>
        <v/>
      </c>
      <c r="M99" s="290"/>
      <c r="N99" s="289" t="str">
        <f>+IFERROR(VLOOKUP($M99,'11 FORMULAS'!$B$54:$C$55,2,0),"")</f>
        <v/>
      </c>
      <c r="O99" s="291"/>
      <c r="P99" s="291"/>
      <c r="Q99" s="291"/>
      <c r="R99" s="291"/>
      <c r="S99" s="289" t="str">
        <f t="shared" si="9"/>
        <v/>
      </c>
      <c r="T99" s="289" t="str">
        <f t="shared" si="10"/>
        <v/>
      </c>
      <c r="U99" s="289" t="str">
        <f t="shared" si="11"/>
        <v/>
      </c>
      <c r="V99" s="238"/>
      <c r="X99" s="239"/>
      <c r="Y99" s="247"/>
      <c r="Z99" s="247"/>
    </row>
    <row r="100" spans="1:26" ht="44.25" customHeight="1" x14ac:dyDescent="0.25">
      <c r="A100" s="235"/>
      <c r="B100" s="180"/>
      <c r="C100" s="236"/>
      <c r="D100" s="237"/>
      <c r="E100" s="172">
        <v>3</v>
      </c>
      <c r="F100" s="292"/>
      <c r="G100" s="149"/>
      <c r="H100" s="149"/>
      <c r="I100" s="172" t="str">
        <f t="shared" si="7"/>
        <v xml:space="preserve">  </v>
      </c>
      <c r="J100" s="288"/>
      <c r="K100" s="289" t="str">
        <f>+IFERROR(VLOOKUP($J100,'11 FORMULAS'!$B$53:$C$53,2,0),"")</f>
        <v/>
      </c>
      <c r="L100" s="289" t="str">
        <f t="shared" si="8"/>
        <v/>
      </c>
      <c r="M100" s="290"/>
      <c r="N100" s="289" t="str">
        <f>+IFERROR(VLOOKUP($M100,'11 FORMULAS'!$B$54:$C$55,2,0),"")</f>
        <v/>
      </c>
      <c r="O100" s="291"/>
      <c r="P100" s="291"/>
      <c r="Q100" s="291"/>
      <c r="R100" s="291"/>
      <c r="S100" s="289" t="str">
        <f t="shared" si="9"/>
        <v/>
      </c>
      <c r="T100" s="289" t="str">
        <f t="shared" si="10"/>
        <v/>
      </c>
      <c r="U100" s="289" t="str">
        <f t="shared" si="11"/>
        <v/>
      </c>
      <c r="V100" s="238"/>
      <c r="X100" s="239"/>
      <c r="Y100" s="247"/>
      <c r="Z100" s="247"/>
    </row>
    <row r="101" spans="1:26" ht="44.25" customHeight="1" x14ac:dyDescent="0.25">
      <c r="A101" s="235"/>
      <c r="B101" s="180"/>
      <c r="C101" s="236"/>
      <c r="D101" s="237"/>
      <c r="E101" s="172">
        <v>4</v>
      </c>
      <c r="F101" s="292"/>
      <c r="G101" s="149"/>
      <c r="H101" s="149"/>
      <c r="I101" s="172" t="str">
        <f t="shared" si="7"/>
        <v xml:space="preserve">  </v>
      </c>
      <c r="J101" s="288"/>
      <c r="K101" s="289" t="str">
        <f>+IFERROR(VLOOKUP($J101,'11 FORMULAS'!$B$53:$C$53,2,0),"")</f>
        <v/>
      </c>
      <c r="L101" s="289" t="str">
        <f t="shared" si="8"/>
        <v/>
      </c>
      <c r="M101" s="290"/>
      <c r="N101" s="289" t="str">
        <f>+IFERROR(VLOOKUP($M101,'11 FORMULAS'!$B$54:$C$55,2,0),"")</f>
        <v/>
      </c>
      <c r="O101" s="291"/>
      <c r="P101" s="291"/>
      <c r="Q101" s="291"/>
      <c r="R101" s="291"/>
      <c r="S101" s="289" t="str">
        <f t="shared" si="9"/>
        <v/>
      </c>
      <c r="T101" s="289" t="str">
        <f t="shared" si="10"/>
        <v/>
      </c>
      <c r="U101" s="289" t="str">
        <f t="shared" si="11"/>
        <v/>
      </c>
      <c r="V101" s="238"/>
      <c r="X101" s="239"/>
      <c r="Y101" s="247"/>
      <c r="Z101" s="247"/>
    </row>
    <row r="102" spans="1:26" ht="44.25" customHeight="1" x14ac:dyDescent="0.25">
      <c r="A102" s="235"/>
      <c r="B102" s="180"/>
      <c r="C102" s="236"/>
      <c r="D102" s="237"/>
      <c r="E102" s="172">
        <v>5</v>
      </c>
      <c r="F102" s="292"/>
      <c r="G102" s="149"/>
      <c r="H102" s="149"/>
      <c r="I102" s="172" t="str">
        <f t="shared" si="7"/>
        <v xml:space="preserve">  </v>
      </c>
      <c r="J102" s="288"/>
      <c r="K102" s="289" t="str">
        <f>+IFERROR(VLOOKUP($J102,'11 FORMULAS'!$B$53:$C$53,2,0),"")</f>
        <v/>
      </c>
      <c r="L102" s="289" t="str">
        <f t="shared" si="8"/>
        <v/>
      </c>
      <c r="M102" s="290"/>
      <c r="N102" s="289" t="str">
        <f>+IFERROR(VLOOKUP($M102,'11 FORMULAS'!$B$54:$C$55,2,0),"")</f>
        <v/>
      </c>
      <c r="O102" s="291"/>
      <c r="P102" s="291"/>
      <c r="Q102" s="291"/>
      <c r="R102" s="291"/>
      <c r="S102" s="289" t="str">
        <f t="shared" si="9"/>
        <v/>
      </c>
      <c r="T102" s="289" t="str">
        <f t="shared" si="10"/>
        <v/>
      </c>
      <c r="U102" s="289" t="str">
        <f t="shared" si="11"/>
        <v/>
      </c>
      <c r="V102" s="238"/>
      <c r="X102" s="239"/>
      <c r="Y102" s="247"/>
      <c r="Z102" s="247"/>
    </row>
    <row r="103" spans="1:26" ht="44.25" customHeight="1" thickBot="1" x14ac:dyDescent="0.3">
      <c r="A103" s="240"/>
      <c r="B103" s="182"/>
      <c r="C103" s="241"/>
      <c r="D103" s="242"/>
      <c r="E103" s="131">
        <v>6</v>
      </c>
      <c r="F103" s="293"/>
      <c r="G103" s="294"/>
      <c r="H103" s="294"/>
      <c r="I103" s="172" t="str">
        <f t="shared" si="7"/>
        <v xml:space="preserve">  </v>
      </c>
      <c r="J103" s="288"/>
      <c r="K103" s="289" t="str">
        <f>+IFERROR(VLOOKUP($J103,'11 FORMULAS'!$B$53:$C$53,2,0),"")</f>
        <v/>
      </c>
      <c r="L103" s="289" t="str">
        <f t="shared" si="8"/>
        <v/>
      </c>
      <c r="M103" s="290"/>
      <c r="N103" s="289" t="str">
        <f>+IFERROR(VLOOKUP($M103,'11 FORMULAS'!$B$54:$C$55,2,0),"")</f>
        <v/>
      </c>
      <c r="O103" s="291"/>
      <c r="P103" s="291"/>
      <c r="Q103" s="291"/>
      <c r="R103" s="291"/>
      <c r="S103" s="289" t="str">
        <f t="shared" si="9"/>
        <v/>
      </c>
      <c r="T103" s="289" t="str">
        <f t="shared" si="10"/>
        <v/>
      </c>
      <c r="U103" s="289" t="str">
        <f t="shared" si="11"/>
        <v/>
      </c>
      <c r="V103" s="244"/>
    </row>
    <row r="104" spans="1:26" ht="44.25" customHeight="1" thickBot="1" x14ac:dyDescent="0.3">
      <c r="A104" s="228" t="str">
        <f>'2 CONTEXTO E IDENTIFICACIÓN'!A25</f>
        <v>R17</v>
      </c>
      <c r="B104" s="175" t="str">
        <f>+'2 CONTEXTO E IDENTIFICACIÓN'!J25</f>
        <v>Posibilidad de afectación económica y reputacional por  el registro de información sin soportes completos y precisos. a causa de  suministro de información al proceso contable de forma incompleta o sin verificación.</v>
      </c>
      <c r="C104" s="229">
        <f>+'3 PROBABIL E IMPACTO INHERENTE'!E25</f>
        <v>0.4</v>
      </c>
      <c r="D104" s="230">
        <f>+'3 PROBABIL E IMPACTO INHERENTE'!M25</f>
        <v>0.4</v>
      </c>
      <c r="E104" s="295">
        <v>1</v>
      </c>
      <c r="F104" s="286" t="str">
        <f>'5 VALORACIÓN CONTROL PROBAB.'!F104</f>
        <v xml:space="preserve"> El(la) profesional especializado(a) con funciones de contador.</v>
      </c>
      <c r="G104" s="286" t="str">
        <f>'5 VALORACIÓN CONTROL PROBAB.'!G104</f>
        <v>Verificar el soporte de cada hecho económico registrado en SIIF Nación.</v>
      </c>
      <c r="H104" s="286" t="str">
        <f>'5 VALORACIÓN CONTROL PROBAB.'!H104</f>
        <v>si hace falta algún soporte para el registro de las transacciones, es solicitado al responsable respectivo ya sea interno o externo, a través de correo electrónic</v>
      </c>
      <c r="I104" s="172" t="str">
        <f t="shared" si="7"/>
        <v xml:space="preserve"> El(la) profesional especializado(a) con funciones de contador. Verificar el soporte de cada hecho económico registrado en SIIF Nación. si hace falta algún soporte para el registro de las transacciones, es solicitado al responsable respectivo ya sea interno o externo, a través de correo electrónic</v>
      </c>
      <c r="J104" s="288"/>
      <c r="K104" s="289" t="str">
        <f>+IFERROR(VLOOKUP($J104,'11 FORMULAS'!$B$53:$C$53,2,0),"")</f>
        <v/>
      </c>
      <c r="L104" s="289" t="str">
        <f t="shared" si="8"/>
        <v/>
      </c>
      <c r="M104" s="290"/>
      <c r="N104" s="289" t="str">
        <f>+IFERROR(VLOOKUP($M104,'11 FORMULAS'!$B$54:$C$55,2,0),"")</f>
        <v/>
      </c>
      <c r="O104" s="291"/>
      <c r="P104" s="291"/>
      <c r="Q104" s="291"/>
      <c r="R104" s="291"/>
      <c r="S104" s="289" t="str">
        <f t="shared" si="9"/>
        <v/>
      </c>
      <c r="T104" s="289" t="str">
        <f t="shared" si="10"/>
        <v/>
      </c>
      <c r="U104" s="289" t="str">
        <f t="shared" si="11"/>
        <v/>
      </c>
      <c r="V104" s="234">
        <f>+'3 PROBABIL E IMPACTO INHERENTE'!M25</f>
        <v>0.4</v>
      </c>
      <c r="X104" s="239"/>
      <c r="Y104" s="247"/>
      <c r="Z104" s="247"/>
    </row>
    <row r="105" spans="1:26" ht="44.25" customHeight="1" x14ac:dyDescent="0.25">
      <c r="A105" s="252"/>
      <c r="B105" s="188"/>
      <c r="C105" s="253"/>
      <c r="D105" s="254"/>
      <c r="E105" s="172">
        <v>2</v>
      </c>
      <c r="F105" s="286"/>
      <c r="G105" s="286"/>
      <c r="H105" s="286"/>
      <c r="I105" s="172"/>
      <c r="J105" s="288"/>
      <c r="K105" s="289" t="str">
        <f>+IFERROR(VLOOKUP($J105,'11 FORMULAS'!$B$53:$C$53,2,0),"")</f>
        <v/>
      </c>
      <c r="L105" s="289" t="str">
        <f t="shared" si="8"/>
        <v/>
      </c>
      <c r="M105" s="290"/>
      <c r="N105" s="289" t="str">
        <f>+IFERROR(VLOOKUP($M105,'11 FORMULAS'!$B$54:$C$55,2,0),"")</f>
        <v/>
      </c>
      <c r="O105" s="291"/>
      <c r="P105" s="291"/>
      <c r="Q105" s="291"/>
      <c r="R105" s="291"/>
      <c r="S105" s="289" t="str">
        <f t="shared" si="9"/>
        <v/>
      </c>
      <c r="T105" s="289" t="str">
        <f t="shared" si="10"/>
        <v/>
      </c>
      <c r="U105" s="289" t="str">
        <f t="shared" si="11"/>
        <v/>
      </c>
      <c r="V105" s="238"/>
      <c r="X105" s="239"/>
      <c r="Y105" s="247"/>
      <c r="Z105" s="247"/>
    </row>
    <row r="106" spans="1:26" ht="44.25" customHeight="1" x14ac:dyDescent="0.25">
      <c r="A106" s="252"/>
      <c r="B106" s="188"/>
      <c r="C106" s="253"/>
      <c r="D106" s="254"/>
      <c r="E106" s="172">
        <v>3</v>
      </c>
      <c r="F106" s="298"/>
      <c r="G106" s="299"/>
      <c r="H106" s="299"/>
      <c r="I106" s="172" t="str">
        <f t="shared" si="7"/>
        <v xml:space="preserve">  </v>
      </c>
      <c r="J106" s="288"/>
      <c r="K106" s="289" t="str">
        <f>+IFERROR(VLOOKUP($J106,'11 FORMULAS'!$B$53:$C$53,2,0),"")</f>
        <v/>
      </c>
      <c r="L106" s="289" t="str">
        <f t="shared" si="8"/>
        <v/>
      </c>
      <c r="M106" s="290"/>
      <c r="N106" s="289" t="str">
        <f>+IFERROR(VLOOKUP($M106,'11 FORMULAS'!$B$54:$C$55,2,0),"")</f>
        <v/>
      </c>
      <c r="O106" s="291"/>
      <c r="P106" s="291"/>
      <c r="Q106" s="291"/>
      <c r="R106" s="291"/>
      <c r="S106" s="289" t="str">
        <f t="shared" si="9"/>
        <v/>
      </c>
      <c r="T106" s="289" t="str">
        <f t="shared" si="10"/>
        <v/>
      </c>
      <c r="U106" s="289" t="str">
        <f t="shared" si="11"/>
        <v/>
      </c>
      <c r="V106" s="238"/>
      <c r="X106" s="239"/>
      <c r="Y106" s="247"/>
      <c r="Z106" s="247"/>
    </row>
    <row r="107" spans="1:26" ht="44.25" customHeight="1" x14ac:dyDescent="0.25">
      <c r="A107" s="235"/>
      <c r="B107" s="180"/>
      <c r="C107" s="236"/>
      <c r="D107" s="237"/>
      <c r="E107" s="172">
        <v>4</v>
      </c>
      <c r="F107" s="292"/>
      <c r="G107" s="149"/>
      <c r="H107" s="149"/>
      <c r="I107" s="172" t="str">
        <f t="shared" si="7"/>
        <v xml:space="preserve">  </v>
      </c>
      <c r="J107" s="288"/>
      <c r="K107" s="289" t="str">
        <f>+IFERROR(VLOOKUP($J107,'11 FORMULAS'!$B$53:$C$53,2,0),"")</f>
        <v/>
      </c>
      <c r="L107" s="289" t="str">
        <f t="shared" si="8"/>
        <v/>
      </c>
      <c r="M107" s="290"/>
      <c r="N107" s="289" t="str">
        <f>+IFERROR(VLOOKUP($M107,'11 FORMULAS'!$B$54:$C$55,2,0),"")</f>
        <v/>
      </c>
      <c r="O107" s="291"/>
      <c r="P107" s="291"/>
      <c r="Q107" s="291"/>
      <c r="R107" s="291"/>
      <c r="S107" s="289" t="str">
        <f t="shared" si="9"/>
        <v/>
      </c>
      <c r="T107" s="289" t="str">
        <f t="shared" si="10"/>
        <v/>
      </c>
      <c r="U107" s="289" t="str">
        <f t="shared" si="11"/>
        <v/>
      </c>
      <c r="V107" s="238"/>
      <c r="X107" s="239"/>
      <c r="Y107" s="247"/>
      <c r="Z107" s="247"/>
    </row>
    <row r="108" spans="1:26" ht="44.25" customHeight="1" x14ac:dyDescent="0.25">
      <c r="A108" s="235"/>
      <c r="B108" s="180"/>
      <c r="C108" s="236"/>
      <c r="D108" s="237"/>
      <c r="E108" s="172">
        <v>5</v>
      </c>
      <c r="F108" s="292"/>
      <c r="G108" s="149"/>
      <c r="H108" s="149"/>
      <c r="I108" s="172" t="str">
        <f t="shared" si="7"/>
        <v xml:space="preserve">  </v>
      </c>
      <c r="J108" s="288"/>
      <c r="K108" s="289" t="str">
        <f>+IFERROR(VLOOKUP($J108,'11 FORMULAS'!$B$53:$C$53,2,0),"")</f>
        <v/>
      </c>
      <c r="L108" s="289" t="str">
        <f t="shared" si="8"/>
        <v/>
      </c>
      <c r="M108" s="290"/>
      <c r="N108" s="289" t="str">
        <f>+IFERROR(VLOOKUP($M108,'11 FORMULAS'!$B$54:$C$55,2,0),"")</f>
        <v/>
      </c>
      <c r="O108" s="291"/>
      <c r="P108" s="291"/>
      <c r="Q108" s="291"/>
      <c r="R108" s="291"/>
      <c r="S108" s="289" t="str">
        <f t="shared" si="9"/>
        <v/>
      </c>
      <c r="T108" s="289" t="str">
        <f t="shared" si="10"/>
        <v/>
      </c>
      <c r="U108" s="289" t="str">
        <f t="shared" si="11"/>
        <v/>
      </c>
      <c r="V108" s="238"/>
      <c r="X108" s="239"/>
      <c r="Y108" s="247"/>
      <c r="Z108" s="247"/>
    </row>
    <row r="109" spans="1:26" ht="44.25" customHeight="1" thickBot="1" x14ac:dyDescent="0.3">
      <c r="A109" s="240"/>
      <c r="B109" s="182"/>
      <c r="C109" s="241"/>
      <c r="D109" s="242"/>
      <c r="E109" s="131">
        <v>6</v>
      </c>
      <c r="F109" s="293"/>
      <c r="G109" s="294"/>
      <c r="H109" s="294"/>
      <c r="I109" s="172" t="str">
        <f t="shared" si="7"/>
        <v xml:space="preserve">  </v>
      </c>
      <c r="J109" s="288"/>
      <c r="K109" s="289" t="str">
        <f>+IFERROR(VLOOKUP($J109,'11 FORMULAS'!$B$53:$C$53,2,0),"")</f>
        <v/>
      </c>
      <c r="L109" s="289" t="str">
        <f t="shared" si="8"/>
        <v/>
      </c>
      <c r="M109" s="290"/>
      <c r="N109" s="289" t="str">
        <f>+IFERROR(VLOOKUP($M109,'11 FORMULAS'!$B$54:$C$55,2,0),"")</f>
        <v/>
      </c>
      <c r="O109" s="291"/>
      <c r="P109" s="291"/>
      <c r="Q109" s="291"/>
      <c r="R109" s="291"/>
      <c r="S109" s="289" t="str">
        <f t="shared" si="9"/>
        <v/>
      </c>
      <c r="T109" s="289" t="str">
        <f t="shared" si="10"/>
        <v/>
      </c>
      <c r="U109" s="289" t="str">
        <f t="shared" si="11"/>
        <v/>
      </c>
      <c r="V109" s="244"/>
    </row>
    <row r="110" spans="1:26" ht="44.25" customHeight="1" x14ac:dyDescent="0.25">
      <c r="A110" s="228" t="str">
        <f>'2 CONTEXTO E IDENTIFICACIÓN'!A26</f>
        <v>R18</v>
      </c>
      <c r="B110" s="175" t="str">
        <f>+'2 CONTEXTO E IDENTIFICACIÓN'!J26</f>
        <v>Posibilidad de afectación económica y reputacional por sanción y/o multa. a causa de  al incumplimiento legal de los requisitos del Sistema de gestión de seguridad y salud en el trabajo (SG-SST).</v>
      </c>
      <c r="C110" s="229">
        <f>+'3 PROBABIL E IMPACTO INHERENTE'!E26</f>
        <v>0.4</v>
      </c>
      <c r="D110" s="230">
        <f>+'3 PROBABIL E IMPACTO INHERENTE'!M26</f>
        <v>0.4</v>
      </c>
      <c r="E110" s="295">
        <v>1</v>
      </c>
      <c r="F110" s="286" t="str">
        <f>'5 VALORACIÓN CONTROL PROBAB.'!F110</f>
        <v>El(la) profesional universitario responsable del SG-SST.</v>
      </c>
      <c r="G110" s="286" t="str">
        <f>'5 VALORACIÓN CONTROL PROBAB.'!G110</f>
        <v>Actualizar y verifica el cumplimiento de los requisitos legales vigentes mensualmente en la Matriz legal de SST.</v>
      </c>
      <c r="H110" s="286" t="str">
        <f>'5 VALORACIÓN CONTROL PROBAB.'!H110</f>
        <v>Notifica el posible incumplimiento de un requisito legal en SST</v>
      </c>
      <c r="I110" s="172" t="str">
        <f t="shared" ref="I110" si="12">+CONCATENATE(F110," ",G110," ",H110)</f>
        <v>El(la) profesional universitario responsable del SG-SST. Actualizar y verifica el cumplimiento de los requisitos legales vigentes mensualmente en la Matriz legal de SST. Notifica el posible incumplimiento de un requisito legal en SST</v>
      </c>
      <c r="J110" s="288"/>
      <c r="K110" s="289" t="str">
        <f>+IFERROR(VLOOKUP($J110,'11 FORMULAS'!$B$53:$C$53,2,0),"")</f>
        <v/>
      </c>
      <c r="L110" s="289" t="str">
        <f t="shared" si="8"/>
        <v/>
      </c>
      <c r="M110" s="290"/>
      <c r="N110" s="289" t="str">
        <f>+IFERROR(VLOOKUP($M110,'11 FORMULAS'!$B$54:$C$55,2,0),"")</f>
        <v/>
      </c>
      <c r="O110" s="291"/>
      <c r="P110" s="291"/>
      <c r="Q110" s="291"/>
      <c r="R110" s="291"/>
      <c r="S110" s="289" t="str">
        <f t="shared" si="9"/>
        <v/>
      </c>
      <c r="T110" s="289" t="str">
        <f t="shared" si="10"/>
        <v/>
      </c>
      <c r="U110" s="289" t="str">
        <f t="shared" si="11"/>
        <v/>
      </c>
      <c r="V110" s="234">
        <f>+'3 PROBABIL E IMPACTO INHERENTE'!M26</f>
        <v>0.4</v>
      </c>
      <c r="X110" s="239"/>
      <c r="Y110" s="247"/>
      <c r="Z110" s="247"/>
    </row>
    <row r="111" spans="1:26" ht="44.25" customHeight="1" x14ac:dyDescent="0.25">
      <c r="A111" s="252"/>
      <c r="B111" s="188"/>
      <c r="C111" s="253"/>
      <c r="D111" s="254"/>
      <c r="E111" s="172">
        <v>2</v>
      </c>
      <c r="F111" s="298"/>
      <c r="G111" s="299"/>
      <c r="H111" s="299"/>
      <c r="I111" s="172" t="str">
        <f t="shared" si="7"/>
        <v xml:space="preserve">  </v>
      </c>
      <c r="J111" s="288"/>
      <c r="K111" s="289" t="str">
        <f>+IFERROR(VLOOKUP($J111,'11 FORMULAS'!$B$53:$C$53,2,0),"")</f>
        <v/>
      </c>
      <c r="L111" s="289" t="str">
        <f t="shared" si="8"/>
        <v/>
      </c>
      <c r="M111" s="290"/>
      <c r="N111" s="289" t="str">
        <f>+IFERROR(VLOOKUP($M111,'11 FORMULAS'!$B$54:$C$55,2,0),"")</f>
        <v/>
      </c>
      <c r="O111" s="291"/>
      <c r="P111" s="291"/>
      <c r="Q111" s="291"/>
      <c r="R111" s="291"/>
      <c r="S111" s="289" t="str">
        <f t="shared" si="9"/>
        <v/>
      </c>
      <c r="T111" s="289" t="str">
        <f t="shared" si="10"/>
        <v/>
      </c>
      <c r="U111" s="289" t="str">
        <f t="shared" si="11"/>
        <v/>
      </c>
      <c r="V111" s="238"/>
      <c r="X111" s="239"/>
      <c r="Y111" s="247"/>
      <c r="Z111" s="247"/>
    </row>
    <row r="112" spans="1:26" ht="44.25" customHeight="1" x14ac:dyDescent="0.25">
      <c r="A112" s="252"/>
      <c r="B112" s="188"/>
      <c r="C112" s="253"/>
      <c r="D112" s="254"/>
      <c r="E112" s="172">
        <v>3</v>
      </c>
      <c r="F112" s="298"/>
      <c r="G112" s="299"/>
      <c r="H112" s="299"/>
      <c r="I112" s="172" t="str">
        <f t="shared" si="7"/>
        <v xml:space="preserve">  </v>
      </c>
      <c r="J112" s="288"/>
      <c r="K112" s="289" t="str">
        <f>+IFERROR(VLOOKUP($J112,'11 FORMULAS'!$B$53:$C$53,2,0),"")</f>
        <v/>
      </c>
      <c r="L112" s="289" t="str">
        <f t="shared" si="8"/>
        <v/>
      </c>
      <c r="M112" s="290"/>
      <c r="N112" s="289" t="str">
        <f>+IFERROR(VLOOKUP($M112,'11 FORMULAS'!$B$54:$C$55,2,0),"")</f>
        <v/>
      </c>
      <c r="O112" s="291"/>
      <c r="P112" s="291"/>
      <c r="Q112" s="291"/>
      <c r="R112" s="291"/>
      <c r="S112" s="289" t="str">
        <f t="shared" si="9"/>
        <v/>
      </c>
      <c r="T112" s="289" t="str">
        <f t="shared" si="10"/>
        <v/>
      </c>
      <c r="U112" s="289" t="str">
        <f t="shared" si="11"/>
        <v/>
      </c>
      <c r="V112" s="238"/>
      <c r="X112" s="239"/>
      <c r="Y112" s="247"/>
      <c r="Z112" s="247"/>
    </row>
    <row r="113" spans="1:26" ht="44.25" customHeight="1" x14ac:dyDescent="0.25">
      <c r="A113" s="235"/>
      <c r="B113" s="180"/>
      <c r="C113" s="236"/>
      <c r="D113" s="237"/>
      <c r="E113" s="172">
        <v>4</v>
      </c>
      <c r="F113" s="292"/>
      <c r="G113" s="149"/>
      <c r="H113" s="149"/>
      <c r="I113" s="172" t="str">
        <f t="shared" si="7"/>
        <v xml:space="preserve">  </v>
      </c>
      <c r="J113" s="288"/>
      <c r="K113" s="289" t="str">
        <f>+IFERROR(VLOOKUP($J113,'11 FORMULAS'!$B$53:$C$53,2,0),"")</f>
        <v/>
      </c>
      <c r="L113" s="289" t="str">
        <f t="shared" si="8"/>
        <v/>
      </c>
      <c r="M113" s="290"/>
      <c r="N113" s="289" t="str">
        <f>+IFERROR(VLOOKUP($M113,'11 FORMULAS'!$B$54:$C$55,2,0),"")</f>
        <v/>
      </c>
      <c r="O113" s="291"/>
      <c r="P113" s="291"/>
      <c r="Q113" s="291"/>
      <c r="R113" s="291"/>
      <c r="S113" s="289" t="str">
        <f t="shared" si="9"/>
        <v/>
      </c>
      <c r="T113" s="289" t="str">
        <f t="shared" si="10"/>
        <v/>
      </c>
      <c r="U113" s="289" t="str">
        <f t="shared" si="11"/>
        <v/>
      </c>
      <c r="V113" s="238"/>
      <c r="X113" s="239"/>
      <c r="Y113" s="247"/>
      <c r="Z113" s="247"/>
    </row>
    <row r="114" spans="1:26" ht="44.25" customHeight="1" x14ac:dyDescent="0.25">
      <c r="A114" s="235"/>
      <c r="B114" s="180"/>
      <c r="C114" s="236"/>
      <c r="D114" s="237"/>
      <c r="E114" s="172">
        <v>5</v>
      </c>
      <c r="F114" s="292"/>
      <c r="G114" s="149"/>
      <c r="H114" s="149"/>
      <c r="I114" s="172" t="str">
        <f t="shared" si="7"/>
        <v xml:space="preserve">  </v>
      </c>
      <c r="J114" s="288"/>
      <c r="K114" s="289" t="str">
        <f>+IFERROR(VLOOKUP($J114,'11 FORMULAS'!$B$53:$C$53,2,0),"")</f>
        <v/>
      </c>
      <c r="L114" s="289" t="str">
        <f t="shared" si="8"/>
        <v/>
      </c>
      <c r="M114" s="290"/>
      <c r="N114" s="289" t="str">
        <f>+IFERROR(VLOOKUP($M114,'11 FORMULAS'!$B$54:$C$55,2,0),"")</f>
        <v/>
      </c>
      <c r="O114" s="291"/>
      <c r="P114" s="291"/>
      <c r="Q114" s="291"/>
      <c r="R114" s="291"/>
      <c r="S114" s="289" t="str">
        <f t="shared" si="9"/>
        <v/>
      </c>
      <c r="T114" s="289" t="str">
        <f t="shared" si="10"/>
        <v/>
      </c>
      <c r="U114" s="289" t="str">
        <f t="shared" si="11"/>
        <v/>
      </c>
      <c r="V114" s="238"/>
      <c r="X114" s="239"/>
      <c r="Y114" s="247"/>
      <c r="Z114" s="247"/>
    </row>
    <row r="115" spans="1:26" ht="44.25" customHeight="1" thickBot="1" x14ac:dyDescent="0.3">
      <c r="A115" s="240"/>
      <c r="B115" s="182"/>
      <c r="C115" s="241"/>
      <c r="D115" s="242"/>
      <c r="E115" s="131">
        <v>6</v>
      </c>
      <c r="F115" s="293"/>
      <c r="G115" s="294"/>
      <c r="H115" s="294"/>
      <c r="I115" s="172" t="str">
        <f t="shared" si="7"/>
        <v xml:space="preserve">  </v>
      </c>
      <c r="J115" s="288"/>
      <c r="K115" s="289" t="str">
        <f>+IFERROR(VLOOKUP($J115,'11 FORMULAS'!$B$53:$C$53,2,0),"")</f>
        <v/>
      </c>
      <c r="L115" s="289" t="str">
        <f t="shared" si="8"/>
        <v/>
      </c>
      <c r="M115" s="290"/>
      <c r="N115" s="289" t="str">
        <f>+IFERROR(VLOOKUP($M115,'11 FORMULAS'!$B$54:$C$55,2,0),"")</f>
        <v/>
      </c>
      <c r="O115" s="291"/>
      <c r="P115" s="291"/>
      <c r="Q115" s="291"/>
      <c r="R115" s="291"/>
      <c r="S115" s="289" t="str">
        <f t="shared" si="9"/>
        <v/>
      </c>
      <c r="T115" s="289" t="str">
        <f t="shared" si="10"/>
        <v/>
      </c>
      <c r="U115" s="289" t="str">
        <f t="shared" si="11"/>
        <v/>
      </c>
      <c r="V115" s="244"/>
    </row>
    <row r="116" spans="1:26" ht="44.25" customHeight="1" thickBot="1" x14ac:dyDescent="0.3">
      <c r="A116" s="228" t="str">
        <f>'2 CONTEXTO E IDENTIFICACIÓN'!A27</f>
        <v>R19</v>
      </c>
      <c r="B116" s="175" t="str">
        <f>+'2 CONTEXTO E IDENTIFICACIÓN'!J27</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116" s="229">
        <f>+'3 PROBABIL E IMPACTO INHERENTE'!E27</f>
        <v>0.6</v>
      </c>
      <c r="D116" s="230">
        <f>+'3 PROBABIL E IMPACTO INHERENTE'!M27</f>
        <v>0.6</v>
      </c>
      <c r="E116" s="295">
        <v>1</v>
      </c>
      <c r="F116" s="286" t="str">
        <f>'5 VALORACIÓN CONTROL PROBAB.'!F116</f>
        <v xml:space="preserve">El(la) coordinador(a) del grupo interno de trabajo de Gestión de talento humano. </v>
      </c>
      <c r="G116" s="286" t="str">
        <f>'5 VALORACIÓN CONTROL PROBAB.'!G116</f>
        <v>Velar porque los actos administrativos que se expidan a través del proceso Gestión de talento humano de la Agencia, se ajusten a la normatividad legal vigente.</v>
      </c>
      <c r="H116" s="286" t="str">
        <f>'5 VALORACIÓN CONTROL PROBAB.'!H116</f>
        <v xml:space="preserve">De identificarse alguna novedad en el acto administrativo, informar al superior jerárquico y corregir o derogar el acto administrativo en cuestión . </v>
      </c>
      <c r="I116" s="172" t="str">
        <f t="shared" si="7"/>
        <v xml:space="preserve">El(la) coordinador(a) del grupo interno de trabajo de Gestión de talento humano.  Velar porque los actos administrativos que se expidan a través del proceso Gestión de talento humano de la Agencia, se ajusten a la normatividad legal vigente. De identificarse alguna novedad en el acto administrativo, informar al superior jerárquico y corregir o derogar el acto administrativo en cuestión . </v>
      </c>
      <c r="J116" s="288"/>
      <c r="K116" s="289" t="str">
        <f>+IFERROR(VLOOKUP($J116,'11 FORMULAS'!$B$53:$C$53,2,0),"")</f>
        <v/>
      </c>
      <c r="L116" s="289" t="str">
        <f t="shared" si="8"/>
        <v/>
      </c>
      <c r="M116" s="290"/>
      <c r="N116" s="289" t="str">
        <f>+IFERROR(VLOOKUP($M116,'11 FORMULAS'!$B$54:$C$55,2,0),"")</f>
        <v/>
      </c>
      <c r="O116" s="291"/>
      <c r="P116" s="291"/>
      <c r="Q116" s="291"/>
      <c r="R116" s="291"/>
      <c r="S116" s="289" t="str">
        <f t="shared" si="9"/>
        <v/>
      </c>
      <c r="T116" s="289" t="str">
        <f t="shared" ref="T116:T127" si="13">+IFERROR(D116*S116,"")</f>
        <v/>
      </c>
      <c r="U116" s="289" t="str">
        <f t="shared" ref="U116:U127" si="14">+IFERROR(D116-T116,"")</f>
        <v/>
      </c>
      <c r="V116" s="234">
        <f>+'3 PROBABIL E IMPACTO INHERENTE'!M27</f>
        <v>0.6</v>
      </c>
      <c r="X116" s="239"/>
      <c r="Y116" s="247"/>
      <c r="Z116" s="247"/>
    </row>
    <row r="117" spans="1:26" ht="44.25" customHeight="1" x14ac:dyDescent="0.25">
      <c r="A117" s="252"/>
      <c r="B117" s="188"/>
      <c r="C117" s="253"/>
      <c r="D117" s="254"/>
      <c r="E117" s="172">
        <v>2</v>
      </c>
      <c r="F117" s="286"/>
      <c r="G117" s="286"/>
      <c r="H117" s="286"/>
      <c r="I117" s="172"/>
      <c r="J117" s="288"/>
      <c r="K117" s="289" t="str">
        <f>+IFERROR(VLOOKUP($J117,'11 FORMULAS'!$B$53:$C$53,2,0),"")</f>
        <v/>
      </c>
      <c r="L117" s="289" t="str">
        <f t="shared" si="8"/>
        <v/>
      </c>
      <c r="M117" s="290"/>
      <c r="N117" s="289" t="str">
        <f>+IFERROR(VLOOKUP($M117,'11 FORMULAS'!$B$54:$C$55,2,0),"")</f>
        <v/>
      </c>
      <c r="O117" s="291"/>
      <c r="P117" s="291"/>
      <c r="Q117" s="291"/>
      <c r="R117" s="291"/>
      <c r="S117" s="289" t="str">
        <f t="shared" si="9"/>
        <v/>
      </c>
      <c r="T117" s="289" t="str">
        <f t="shared" si="13"/>
        <v/>
      </c>
      <c r="U117" s="289" t="str">
        <f t="shared" si="14"/>
        <v/>
      </c>
      <c r="V117" s="238"/>
      <c r="X117" s="239"/>
      <c r="Y117" s="247"/>
      <c r="Z117" s="247"/>
    </row>
    <row r="118" spans="1:26" ht="44.25" customHeight="1" x14ac:dyDescent="0.25">
      <c r="A118" s="252"/>
      <c r="B118" s="188"/>
      <c r="C118" s="253"/>
      <c r="D118" s="254"/>
      <c r="E118" s="172">
        <v>3</v>
      </c>
      <c r="F118" s="298"/>
      <c r="G118" s="299"/>
      <c r="H118" s="299"/>
      <c r="I118" s="172" t="str">
        <f t="shared" si="7"/>
        <v xml:space="preserve">  </v>
      </c>
      <c r="J118" s="288"/>
      <c r="K118" s="289" t="str">
        <f>+IFERROR(VLOOKUP($J118,'11 FORMULAS'!$B$53:$C$53,2,0),"")</f>
        <v/>
      </c>
      <c r="L118" s="289" t="str">
        <f t="shared" si="8"/>
        <v/>
      </c>
      <c r="M118" s="290"/>
      <c r="N118" s="289" t="str">
        <f>+IFERROR(VLOOKUP($M118,'11 FORMULAS'!$B$54:$C$55,2,0),"")</f>
        <v/>
      </c>
      <c r="O118" s="291"/>
      <c r="P118" s="291"/>
      <c r="Q118" s="291"/>
      <c r="R118" s="291"/>
      <c r="S118" s="289" t="str">
        <f t="shared" si="9"/>
        <v/>
      </c>
      <c r="T118" s="289" t="str">
        <f t="shared" si="13"/>
        <v/>
      </c>
      <c r="U118" s="289" t="str">
        <f t="shared" si="14"/>
        <v/>
      </c>
      <c r="V118" s="238"/>
      <c r="X118" s="239"/>
      <c r="Y118" s="247"/>
      <c r="Z118" s="247"/>
    </row>
    <row r="119" spans="1:26" ht="44.25" customHeight="1" x14ac:dyDescent="0.25">
      <c r="A119" s="235"/>
      <c r="B119" s="180"/>
      <c r="C119" s="236"/>
      <c r="D119" s="237"/>
      <c r="E119" s="172">
        <v>4</v>
      </c>
      <c r="F119" s="292"/>
      <c r="G119" s="149"/>
      <c r="H119" s="149"/>
      <c r="I119" s="172" t="str">
        <f t="shared" si="7"/>
        <v xml:space="preserve">  </v>
      </c>
      <c r="J119" s="288"/>
      <c r="K119" s="289" t="str">
        <f>+IFERROR(VLOOKUP($J119,'11 FORMULAS'!$B$53:$C$53,2,0),"")</f>
        <v/>
      </c>
      <c r="L119" s="289" t="str">
        <f t="shared" si="8"/>
        <v/>
      </c>
      <c r="M119" s="290"/>
      <c r="N119" s="289" t="str">
        <f>+IFERROR(VLOOKUP($M119,'11 FORMULAS'!$B$54:$C$55,2,0),"")</f>
        <v/>
      </c>
      <c r="O119" s="291"/>
      <c r="P119" s="291"/>
      <c r="Q119" s="291"/>
      <c r="R119" s="291"/>
      <c r="S119" s="289" t="str">
        <f t="shared" si="9"/>
        <v/>
      </c>
      <c r="T119" s="289" t="str">
        <f t="shared" si="13"/>
        <v/>
      </c>
      <c r="U119" s="289" t="str">
        <f t="shared" si="14"/>
        <v/>
      </c>
      <c r="V119" s="238"/>
      <c r="X119" s="239"/>
      <c r="Y119" s="247"/>
      <c r="Z119" s="247"/>
    </row>
    <row r="120" spans="1:26" ht="44.25" customHeight="1" x14ac:dyDescent="0.25">
      <c r="A120" s="235"/>
      <c r="B120" s="180"/>
      <c r="C120" s="236"/>
      <c r="D120" s="237"/>
      <c r="E120" s="172">
        <v>5</v>
      </c>
      <c r="F120" s="292"/>
      <c r="G120" s="149"/>
      <c r="H120" s="149"/>
      <c r="I120" s="172" t="str">
        <f t="shared" si="7"/>
        <v xml:space="preserve">  </v>
      </c>
      <c r="J120" s="288"/>
      <c r="K120" s="289" t="str">
        <f>+IFERROR(VLOOKUP($J120,'11 FORMULAS'!$B$53:$C$53,2,0),"")</f>
        <v/>
      </c>
      <c r="L120" s="289" t="str">
        <f t="shared" si="8"/>
        <v/>
      </c>
      <c r="M120" s="290"/>
      <c r="N120" s="289" t="str">
        <f>+IFERROR(VLOOKUP($M120,'11 FORMULAS'!$B$54:$C$55,2,0),"")</f>
        <v/>
      </c>
      <c r="O120" s="291"/>
      <c r="P120" s="291"/>
      <c r="Q120" s="291"/>
      <c r="R120" s="291"/>
      <c r="S120" s="289" t="str">
        <f t="shared" si="9"/>
        <v/>
      </c>
      <c r="T120" s="289" t="str">
        <f t="shared" si="13"/>
        <v/>
      </c>
      <c r="U120" s="289" t="str">
        <f t="shared" si="14"/>
        <v/>
      </c>
      <c r="V120" s="238"/>
      <c r="X120" s="239"/>
      <c r="Y120" s="247"/>
      <c r="Z120" s="247"/>
    </row>
    <row r="121" spans="1:26" ht="44.25" customHeight="1" thickBot="1" x14ac:dyDescent="0.3">
      <c r="A121" s="240"/>
      <c r="B121" s="182"/>
      <c r="C121" s="241"/>
      <c r="D121" s="242"/>
      <c r="E121" s="131">
        <v>6</v>
      </c>
      <c r="F121" s="293"/>
      <c r="G121" s="294"/>
      <c r="H121" s="294"/>
      <c r="I121" s="172" t="str">
        <f t="shared" si="7"/>
        <v xml:space="preserve">  </v>
      </c>
      <c r="J121" s="288"/>
      <c r="K121" s="289" t="str">
        <f>+IFERROR(VLOOKUP($J121,'11 FORMULAS'!$B$53:$C$53,2,0),"")</f>
        <v/>
      </c>
      <c r="L121" s="289" t="str">
        <f t="shared" si="8"/>
        <v/>
      </c>
      <c r="M121" s="290"/>
      <c r="N121" s="289" t="str">
        <f>+IFERROR(VLOOKUP($M121,'11 FORMULAS'!$B$54:$C$55,2,0),"")</f>
        <v/>
      </c>
      <c r="O121" s="291"/>
      <c r="P121" s="291"/>
      <c r="Q121" s="291"/>
      <c r="R121" s="291"/>
      <c r="S121" s="289" t="str">
        <f t="shared" si="9"/>
        <v/>
      </c>
      <c r="T121" s="289" t="str">
        <f t="shared" si="13"/>
        <v/>
      </c>
      <c r="U121" s="289" t="str">
        <f t="shared" si="14"/>
        <v/>
      </c>
      <c r="V121" s="244"/>
    </row>
    <row r="122" spans="1:26" ht="44.25" customHeight="1" thickBot="1" x14ac:dyDescent="0.3">
      <c r="A122" s="228" t="str">
        <f>'2 CONTEXTO E IDENTIFICACIÓN'!A28</f>
        <v>R20</v>
      </c>
      <c r="B122" s="175" t="str">
        <f>+'2 CONTEXTO E IDENTIFICACIÓN'!J28</f>
        <v>Posibilidad de afectación reputacional por la reclamación de la DIAN y queja y/o sanción de los organismos de vigilancia y control. a causa de   incumplimiento en los requisitos para tramitar donaciones por parte de la Agencia.</v>
      </c>
      <c r="C122" s="229">
        <f>+'3 PROBABIL E IMPACTO INHERENTE'!E28</f>
        <v>0.4</v>
      </c>
      <c r="D122" s="230">
        <f>+'3 PROBABIL E IMPACTO INHERENTE'!M28</f>
        <v>0.4</v>
      </c>
      <c r="E122" s="295">
        <v>1</v>
      </c>
      <c r="F122" s="286" t="str">
        <f>'5 VALORACIÓN CONTROL PROBAB.'!F122</f>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v>
      </c>
      <c r="G122" s="286" t="str">
        <f>'5 VALORACIÓN CONTROL PROBAB.'!G122</f>
        <v>Verificar previamente cada uno de los ítems de la donación teniendo en cuenta sus cualidades y especificaciones técnicas a través de la documentación requerida para el trámite de canalización de Donaciones en Especie. (Ofrecimiento de la Donación, Certificado de la Donación y Carta de Exoneración de Responsabilidades).</v>
      </c>
      <c r="H122" s="286" t="str">
        <f>'5 VALORACIÓN CONTROL PROBAB.'!H122</f>
        <v>Se analizan  las novedades presentadas en el ejercicio de la revisión para tomar las medidas respectivas, escalando a la instancia correspondiente y evitar la indebida recepción de la donación.</v>
      </c>
      <c r="I122" s="172" t="str">
        <f t="shared" ref="I122:I123" si="15">+CONCATENATE(F122," ",G122," ",H122)</f>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 Verificar previamente cada uno de los ítems de la donación teniendo en cuenta sus cualidades y especificaciones técnicas a través de la documentación requerida para el trámite de canalización de Donaciones en Especie. (Ofrecimiento de la Donación, Certificado de la Donación y Carta de Exoneración de Responsabilidades). Se analizan  las novedades presentadas en el ejercicio de la revisión para tomar las medidas respectivas, escalando a la instancia correspondiente y evitar la indebida recepción de la donación.</v>
      </c>
      <c r="J122" s="288"/>
      <c r="K122" s="289" t="str">
        <f>+IFERROR(VLOOKUP($J122,'11 FORMULAS'!$B$53:$C$53,2,0),"")</f>
        <v/>
      </c>
      <c r="L122" s="289" t="str">
        <f t="shared" si="8"/>
        <v/>
      </c>
      <c r="M122" s="290"/>
      <c r="N122" s="289" t="str">
        <f>+IFERROR(VLOOKUP($M122,'11 FORMULAS'!$B$54:$C$55,2,0),"")</f>
        <v/>
      </c>
      <c r="O122" s="291"/>
      <c r="P122" s="291"/>
      <c r="Q122" s="291"/>
      <c r="R122" s="291"/>
      <c r="S122" s="289" t="str">
        <f t="shared" si="9"/>
        <v/>
      </c>
      <c r="T122" s="289" t="str">
        <f t="shared" si="13"/>
        <v/>
      </c>
      <c r="U122" s="289" t="str">
        <f t="shared" si="14"/>
        <v/>
      </c>
      <c r="V122" s="234">
        <f>+'3 PROBABIL E IMPACTO INHERENTE'!M28</f>
        <v>0.4</v>
      </c>
      <c r="X122" s="239"/>
      <c r="Y122" s="247"/>
      <c r="Z122" s="247"/>
    </row>
    <row r="123" spans="1:26" ht="44.25" customHeight="1" thickBot="1" x14ac:dyDescent="0.3">
      <c r="A123" s="252"/>
      <c r="B123" s="188"/>
      <c r="C123" s="253"/>
      <c r="D123" s="254"/>
      <c r="E123" s="172">
        <v>2</v>
      </c>
      <c r="F123" s="286" t="str">
        <f>'5 VALORACIÓN CONTROL PROBAB.'!F123</f>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v>
      </c>
      <c r="G123" s="286" t="str">
        <f>'5 VALORACIÓN CONTROL PROBAB.'!G123</f>
        <v>Control del acta de entrega de la donación al beneficiario final, teniendo en cuenta la voluntad del donante con respecto al beneficiario final.</v>
      </c>
      <c r="H123" s="286" t="str">
        <f>'5 VALORACIÓN CONTROL PROBAB.'!H123</f>
        <v>Se analizan  las novedades presentadas en el ejercicio de la revisión para tomar las medidas respectivas, escalando a la instancia correspondiente y evitar la indebida recepción de la donación.</v>
      </c>
      <c r="I123" s="172" t="str">
        <f t="shared" si="15"/>
        <v xml:space="preserve"> El(a) profesional asignado(a) a desarrollar las actividades necesarias para la canalización de donaciones en especie y el secretario ejecutivo del grupo interno de trabajo de administración de recursos de cooperación internacional no reembolsables y donaciones en especie. Control del acta de entrega de la donación al beneficiario final, teniendo en cuenta la voluntad del donante con respecto al beneficiario final. Se analizan  las novedades presentadas en el ejercicio de la revisión para tomar las medidas respectivas, escalando a la instancia correspondiente y evitar la indebida recepción de la donación.</v>
      </c>
      <c r="J123" s="288"/>
      <c r="K123" s="289" t="str">
        <f>+IFERROR(VLOOKUP($J123,'11 FORMULAS'!$B$53:$C$53,2,0),"")</f>
        <v/>
      </c>
      <c r="L123" s="289" t="str">
        <f t="shared" si="8"/>
        <v/>
      </c>
      <c r="M123" s="290"/>
      <c r="N123" s="289" t="str">
        <f>+IFERROR(VLOOKUP($M123,'11 FORMULAS'!$B$54:$C$55,2,0),"")</f>
        <v/>
      </c>
      <c r="O123" s="291"/>
      <c r="P123" s="291"/>
      <c r="Q123" s="291"/>
      <c r="R123" s="291"/>
      <c r="S123" s="289" t="str">
        <f t="shared" si="9"/>
        <v/>
      </c>
      <c r="T123" s="289" t="str">
        <f t="shared" si="13"/>
        <v/>
      </c>
      <c r="U123" s="289" t="str">
        <f t="shared" si="14"/>
        <v/>
      </c>
      <c r="V123" s="238"/>
      <c r="X123" s="239"/>
      <c r="Y123" s="247"/>
      <c r="Z123" s="247"/>
    </row>
    <row r="124" spans="1:26" ht="44.25" customHeight="1" x14ac:dyDescent="0.25">
      <c r="A124" s="252"/>
      <c r="B124" s="188"/>
      <c r="C124" s="253"/>
      <c r="D124" s="254"/>
      <c r="E124" s="172">
        <v>3</v>
      </c>
      <c r="F124" s="286"/>
      <c r="G124" s="286"/>
      <c r="H124" s="286"/>
      <c r="I124" s="172"/>
      <c r="J124" s="288"/>
      <c r="K124" s="289" t="str">
        <f>+IFERROR(VLOOKUP($J124,'11 FORMULAS'!$B$53:$C$53,2,0),"")</f>
        <v/>
      </c>
      <c r="L124" s="289" t="str">
        <f t="shared" si="8"/>
        <v/>
      </c>
      <c r="M124" s="290"/>
      <c r="N124" s="289" t="str">
        <f>+IFERROR(VLOOKUP($M124,'11 FORMULAS'!$B$54:$C$55,2,0),"")</f>
        <v/>
      </c>
      <c r="O124" s="291"/>
      <c r="P124" s="291"/>
      <c r="Q124" s="291"/>
      <c r="R124" s="291"/>
      <c r="S124" s="289" t="str">
        <f t="shared" si="9"/>
        <v/>
      </c>
      <c r="T124" s="289" t="str">
        <f t="shared" si="13"/>
        <v/>
      </c>
      <c r="U124" s="289" t="str">
        <f t="shared" si="14"/>
        <v/>
      </c>
      <c r="V124" s="238"/>
      <c r="X124" s="239"/>
      <c r="Y124" s="247"/>
      <c r="Z124" s="247"/>
    </row>
    <row r="125" spans="1:26" ht="44.25" customHeight="1" x14ac:dyDescent="0.25">
      <c r="A125" s="235"/>
      <c r="B125" s="180"/>
      <c r="C125" s="236"/>
      <c r="D125" s="237"/>
      <c r="E125" s="172">
        <v>4</v>
      </c>
      <c r="F125" s="292"/>
      <c r="G125" s="149"/>
      <c r="H125" s="149"/>
      <c r="I125" s="172" t="str">
        <f t="shared" si="7"/>
        <v xml:space="preserve">  </v>
      </c>
      <c r="J125" s="288"/>
      <c r="K125" s="289" t="str">
        <f>+IFERROR(VLOOKUP($J125,'11 FORMULAS'!$B$53:$C$53,2,0),"")</f>
        <v/>
      </c>
      <c r="L125" s="289" t="str">
        <f t="shared" si="8"/>
        <v/>
      </c>
      <c r="M125" s="290"/>
      <c r="N125" s="289" t="str">
        <f>+IFERROR(VLOOKUP($M125,'11 FORMULAS'!$B$54:$C$55,2,0),"")</f>
        <v/>
      </c>
      <c r="O125" s="291"/>
      <c r="P125" s="291"/>
      <c r="Q125" s="291"/>
      <c r="R125" s="291"/>
      <c r="S125" s="289" t="str">
        <f t="shared" si="9"/>
        <v/>
      </c>
      <c r="T125" s="289" t="str">
        <f t="shared" si="13"/>
        <v/>
      </c>
      <c r="U125" s="289" t="str">
        <f t="shared" si="14"/>
        <v/>
      </c>
      <c r="V125" s="238"/>
      <c r="X125" s="239"/>
      <c r="Y125" s="247"/>
      <c r="Z125" s="247"/>
    </row>
    <row r="126" spans="1:26" ht="44.25" customHeight="1" x14ac:dyDescent="0.25">
      <c r="A126" s="235"/>
      <c r="B126" s="180"/>
      <c r="C126" s="236"/>
      <c r="D126" s="237"/>
      <c r="E126" s="172">
        <v>5</v>
      </c>
      <c r="F126" s="292"/>
      <c r="G126" s="149"/>
      <c r="H126" s="149"/>
      <c r="I126" s="172" t="str">
        <f t="shared" si="7"/>
        <v xml:space="preserve">  </v>
      </c>
      <c r="J126" s="288"/>
      <c r="K126" s="289" t="str">
        <f>+IFERROR(VLOOKUP($J126,'11 FORMULAS'!$B$53:$C$53,2,0),"")</f>
        <v/>
      </c>
      <c r="L126" s="289" t="str">
        <f t="shared" si="8"/>
        <v/>
      </c>
      <c r="M126" s="290"/>
      <c r="N126" s="289" t="str">
        <f>+IFERROR(VLOOKUP($M126,'11 FORMULAS'!$B$54:$C$55,2,0),"")</f>
        <v/>
      </c>
      <c r="O126" s="291"/>
      <c r="P126" s="291"/>
      <c r="Q126" s="291"/>
      <c r="R126" s="291"/>
      <c r="S126" s="289" t="str">
        <f t="shared" si="9"/>
        <v/>
      </c>
      <c r="T126" s="289" t="str">
        <f t="shared" si="13"/>
        <v/>
      </c>
      <c r="U126" s="289" t="str">
        <f t="shared" si="14"/>
        <v/>
      </c>
      <c r="V126" s="238"/>
      <c r="X126" s="239"/>
      <c r="Y126" s="247"/>
      <c r="Z126" s="247"/>
    </row>
    <row r="127" spans="1:26" ht="41.45" customHeight="1" thickBot="1" x14ac:dyDescent="0.3">
      <c r="A127" s="240"/>
      <c r="B127" s="182"/>
      <c r="C127" s="241"/>
      <c r="D127" s="242"/>
      <c r="E127" s="131">
        <v>6</v>
      </c>
      <c r="F127" s="293"/>
      <c r="G127" s="294"/>
      <c r="H127" s="294"/>
      <c r="I127" s="172" t="str">
        <f t="shared" si="7"/>
        <v xml:space="preserve">  </v>
      </c>
      <c r="J127" s="288"/>
      <c r="K127" s="289" t="str">
        <f>+IFERROR(VLOOKUP($J127,'11 FORMULAS'!$B$53:$C$53,2,0),"")</f>
        <v/>
      </c>
      <c r="L127" s="289" t="str">
        <f t="shared" si="8"/>
        <v/>
      </c>
      <c r="M127" s="290"/>
      <c r="N127" s="289" t="str">
        <f>+IFERROR(VLOOKUP($M127,'11 FORMULAS'!$B$54:$C$55,2,0),"")</f>
        <v/>
      </c>
      <c r="O127" s="291"/>
      <c r="P127" s="291"/>
      <c r="Q127" s="291"/>
      <c r="R127" s="291"/>
      <c r="S127" s="289" t="str">
        <f t="shared" si="9"/>
        <v/>
      </c>
      <c r="T127" s="289" t="str">
        <f t="shared" si="13"/>
        <v/>
      </c>
      <c r="U127" s="289" t="str">
        <f t="shared" si="14"/>
        <v/>
      </c>
      <c r="V127" s="244"/>
    </row>
    <row r="128" spans="1:26" ht="40.5" customHeight="1" thickBot="1" x14ac:dyDescent="0.3">
      <c r="A128" s="228" t="str">
        <f>'2 CONTEXTO E IDENTIFICACIÓN'!A29</f>
        <v>R21</v>
      </c>
      <c r="B128" s="175" t="str">
        <f>+'2 CONTEXTO E IDENTIFICACIÓN'!J29</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C128" s="229">
        <f>+'3 PROBABIL E IMPACTO INHERENTE'!E29</f>
        <v>0.6</v>
      </c>
      <c r="D128" s="230">
        <f>+'3 PROBABIL E IMPACTO INHERENTE'!M29</f>
        <v>0.4</v>
      </c>
      <c r="E128" s="295">
        <v>1</v>
      </c>
      <c r="F128" s="286" t="str">
        <f>'5 VALORACIÓN CONTROL PROBAB.'!F128</f>
        <v xml:space="preserve"> El equipo técnico de la Dirección de gestión de demanda de cooperación internacional.</v>
      </c>
      <c r="G128" s="286" t="str">
        <f>'5 VALORACIÓN CONTROL PROBAB.'!G128</f>
        <v>Consolidar y enviar para publicación, el documento con Analisis de la Ayuda Oficial al Desarrollo (AOD), recibida durante la vigencia anterior.</v>
      </c>
      <c r="H128" s="286" t="str">
        <f>'5 VALORACIÓN CONTROL PROBAB.'!H128</f>
        <v xml:space="preserve"> Si existen, como que el documento no pueda ser publicado, se emplearán medios alternativos para su socialización, como el envío a través de correo electrónico a los usuarios interesados y se dejará como evidencia el documento final.</v>
      </c>
      <c r="I128" s="172" t="str">
        <f t="shared" si="7"/>
        <v xml:space="preserve"> El equipo técnico de la Dirección de gestión de demanda de cooperación internacional. Consolidar y enviar para publicación, el documento con Analisis de la Ayuda Oficial al Desarrollo (AOD), recibida durante la vigencia anterior.  Si existen, como que el documento no pueda ser publicado, se emplearán medios alternativos para su socialización, como el envío a través de correo electrónico a los usuarios interesados y se dejará como evidencia el documento final.</v>
      </c>
      <c r="J128" s="149"/>
      <c r="K128" s="289" t="str">
        <f>+IFERROR(VLOOKUP($J128,'11 FORMULAS'!$B$51:$C$53,2,0),"")</f>
        <v/>
      </c>
      <c r="L128" s="289" t="e">
        <f>+IF(J128="Preventivo","Probabilidad",IF(J128="Detectivo","Probabilidad",IF(#REF!="Correctivo","Impacto","")))</f>
        <v>#REF!</v>
      </c>
      <c r="M128" s="290"/>
      <c r="N128" s="289" t="str">
        <f>+IFERROR(VLOOKUP($M128,'11 FORMULAS'!$B$54:$C$55,2,0),"")</f>
        <v/>
      </c>
      <c r="O128" s="291"/>
      <c r="P128" s="291"/>
      <c r="Q128" s="291"/>
      <c r="R128" s="291"/>
      <c r="S128" s="289" t="str">
        <f t="shared" si="9"/>
        <v/>
      </c>
      <c r="T128" s="289" t="str">
        <f>+IFERROR(C128*S128,"")</f>
        <v/>
      </c>
      <c r="U128" s="289" t="str">
        <f>+IFERROR(C128-T128,"")</f>
        <v/>
      </c>
      <c r="V128" s="234">
        <f>+'3 PROBABIL E IMPACTO INHERENTE'!M29</f>
        <v>0.4</v>
      </c>
    </row>
    <row r="129" spans="1:22" ht="40.5" customHeight="1" thickBot="1" x14ac:dyDescent="0.3">
      <c r="A129" s="252"/>
      <c r="B129" s="188"/>
      <c r="C129" s="253"/>
      <c r="D129" s="254"/>
      <c r="E129" s="172">
        <v>2</v>
      </c>
      <c r="F129" s="286" t="str">
        <f>'5 VALORACIÓN CONTROL PROBAB.'!F129</f>
        <v xml:space="preserve"> Los profesionales de la Dirección de gestión de demanda de cooperación internacional.</v>
      </c>
      <c r="G129" s="286" t="str">
        <f>'5 VALORACIÓN CONTROL PROBAB.'!G129</f>
        <v>Elaborar y hacer seguimiento trimestral a treinta planes de trabajo para la vigencia, con las fuentes oficiales y no oficiales de cooperación internacional con las que trabajan.</v>
      </c>
      <c r="H129" s="286" t="str">
        <f>'5 VALORACIÓN CONTROL PROBAB.'!H129</f>
        <v>De cada actividad, en caso de observación o desviación porque un plan de trabajo no se esta cumpliendo, se deberán revisar las actividades propuestas y analizar las causas de retraso para poder implementar las acciones correctivas del caso. Este ejercicio se hará conjuntamente con los(las) coordinadores(ras) y el(la) director(a) de la dirección.</v>
      </c>
      <c r="I129" s="172" t="str">
        <f t="shared" ref="I129" si="16">+CONCATENATE(F129," ",G129," ",H129)</f>
        <v xml:space="preserve"> Los profesionales de la Dirección de gestión de demanda de cooperación internacional. Elaborar y hacer seguimiento trimestral a treinta planes de trabajo para la vigencia, con las fuentes oficiales y no oficiales de cooperación internacional con las que trabajan. De cada actividad, en caso de observación o desviación porque un plan de trabajo no se esta cumpliendo, se deberán revisar las actividades propuestas y analizar las causas de retraso para poder implementar las acciones correctivas del caso. Este ejercicio se hará conjuntamente con los(las) coordinadores(ras) y el(la) director(a) de la dirección.</v>
      </c>
      <c r="J129" s="149"/>
      <c r="K129" s="289" t="str">
        <f>+IFERROR(VLOOKUP($J129,'11 FORMULAS'!$B$51:$C$53,2,0),"")</f>
        <v/>
      </c>
      <c r="L129" s="289" t="e">
        <f>+IF(J129="Preventivo","Probabilidad",IF(J129="Detectivo","Probabilidad",IF(#REF!="Correctivo","Impacto","")))</f>
        <v>#REF!</v>
      </c>
      <c r="M129" s="290"/>
      <c r="N129" s="289" t="str">
        <f>+IFERROR(VLOOKUP($M129,'11 FORMULAS'!$B$54:$C$55,2,0),"")</f>
        <v/>
      </c>
      <c r="O129" s="291"/>
      <c r="P129" s="291"/>
      <c r="Q129" s="291"/>
      <c r="R129" s="291"/>
      <c r="S129" s="289" t="str">
        <f t="shared" si="9"/>
        <v/>
      </c>
      <c r="T129" s="289" t="str">
        <f t="shared" ref="T129:T133" si="17">+IFERROR(C129*S129,"")</f>
        <v/>
      </c>
      <c r="U129" s="289" t="str">
        <f t="shared" ref="U129:U133" si="18">+IFERROR(S129-T129,"")</f>
        <v/>
      </c>
      <c r="V129" s="238"/>
    </row>
    <row r="130" spans="1:22" ht="40.5" customHeight="1" x14ac:dyDescent="0.25">
      <c r="A130" s="252"/>
      <c r="B130" s="188"/>
      <c r="C130" s="253"/>
      <c r="D130" s="254"/>
      <c r="E130" s="172">
        <v>3</v>
      </c>
      <c r="F130" s="286"/>
      <c r="G130" s="286"/>
      <c r="H130" s="286"/>
      <c r="I130" s="172"/>
      <c r="J130" s="149"/>
      <c r="K130" s="289" t="str">
        <f>+IFERROR(VLOOKUP($J130,'11 FORMULAS'!$B$51:$C$53,2,0),"")</f>
        <v/>
      </c>
      <c r="L130" s="289" t="e">
        <f>+IF(J130="Preventivo","Probabilidad",IF(J130="Detectivo","Probabilidad",IF(#REF!="Correctivo","Impacto","")))</f>
        <v>#REF!</v>
      </c>
      <c r="M130" s="290"/>
      <c r="N130" s="289" t="str">
        <f>+IFERROR(VLOOKUP($M130,'11 FORMULAS'!$B$54:$C$55,2,0),"")</f>
        <v/>
      </c>
      <c r="O130" s="291"/>
      <c r="P130" s="291"/>
      <c r="Q130" s="291"/>
      <c r="R130" s="291"/>
      <c r="S130" s="289" t="str">
        <f t="shared" si="9"/>
        <v/>
      </c>
      <c r="T130" s="289" t="str">
        <f t="shared" si="17"/>
        <v/>
      </c>
      <c r="U130" s="289" t="str">
        <f t="shared" si="18"/>
        <v/>
      </c>
      <c r="V130" s="238"/>
    </row>
    <row r="131" spans="1:22" ht="40.5" customHeight="1" x14ac:dyDescent="0.25">
      <c r="A131" s="235"/>
      <c r="B131" s="180"/>
      <c r="C131" s="236"/>
      <c r="D131" s="237"/>
      <c r="E131" s="172">
        <v>4</v>
      </c>
      <c r="F131" s="292"/>
      <c r="G131" s="149"/>
      <c r="H131" s="149"/>
      <c r="I131" s="172" t="str">
        <f t="shared" ref="I131:I134" si="19">+CONCATENATE(F131," ",G131," ",H131)</f>
        <v xml:space="preserve">  </v>
      </c>
      <c r="J131" s="149"/>
      <c r="K131" s="289" t="str">
        <f>+IFERROR(VLOOKUP($J131,'11 FORMULAS'!$B$51:$C$53,2,0),"")</f>
        <v/>
      </c>
      <c r="L131" s="289" t="e">
        <f>+IF(J131="Preventivo","Probabilidad",IF(J131="Detectivo","Probabilidad",IF(#REF!="Correctivo","Impacto","")))</f>
        <v>#REF!</v>
      </c>
      <c r="M131" s="290"/>
      <c r="N131" s="289" t="str">
        <f>+IFERROR(VLOOKUP($M131,'11 FORMULAS'!$B$54:$C$55,2,0),"")</f>
        <v/>
      </c>
      <c r="O131" s="291"/>
      <c r="P131" s="291"/>
      <c r="Q131" s="291"/>
      <c r="R131" s="291"/>
      <c r="S131" s="289" t="str">
        <f t="shared" si="9"/>
        <v/>
      </c>
      <c r="T131" s="289" t="str">
        <f t="shared" si="17"/>
        <v/>
      </c>
      <c r="U131" s="289" t="str">
        <f t="shared" si="18"/>
        <v/>
      </c>
      <c r="V131" s="238"/>
    </row>
    <row r="132" spans="1:22" ht="40.5" customHeight="1" x14ac:dyDescent="0.25">
      <c r="A132" s="235"/>
      <c r="B132" s="180"/>
      <c r="C132" s="236"/>
      <c r="D132" s="237"/>
      <c r="E132" s="172">
        <v>5</v>
      </c>
      <c r="F132" s="292"/>
      <c r="G132" s="149"/>
      <c r="H132" s="149"/>
      <c r="I132" s="172" t="str">
        <f t="shared" si="19"/>
        <v xml:space="preserve">  </v>
      </c>
      <c r="J132" s="149"/>
      <c r="K132" s="289" t="str">
        <f>+IFERROR(VLOOKUP($J132,'11 FORMULAS'!$B$51:$C$53,2,0),"")</f>
        <v/>
      </c>
      <c r="L132" s="289" t="e">
        <f>+IF(J132="Preventivo","Probabilidad",IF(J132="Detectivo","Probabilidad",IF(#REF!="Correctivo","Impacto","")))</f>
        <v>#REF!</v>
      </c>
      <c r="M132" s="290"/>
      <c r="N132" s="289" t="str">
        <f>+IFERROR(VLOOKUP($M132,'11 FORMULAS'!$B$54:$C$55,2,0),"")</f>
        <v/>
      </c>
      <c r="O132" s="291"/>
      <c r="P132" s="291"/>
      <c r="Q132" s="291"/>
      <c r="R132" s="291"/>
      <c r="S132" s="289" t="str">
        <f t="shared" si="9"/>
        <v/>
      </c>
      <c r="T132" s="289" t="str">
        <f t="shared" si="17"/>
        <v/>
      </c>
      <c r="U132" s="289" t="str">
        <f t="shared" si="18"/>
        <v/>
      </c>
      <c r="V132" s="238"/>
    </row>
    <row r="133" spans="1:22" ht="40.5" customHeight="1" thickBot="1" x14ac:dyDescent="0.3">
      <c r="A133" s="240"/>
      <c r="B133" s="182"/>
      <c r="C133" s="241"/>
      <c r="D133" s="242"/>
      <c r="E133" s="131">
        <v>6</v>
      </c>
      <c r="F133" s="293"/>
      <c r="G133" s="294"/>
      <c r="H133" s="294"/>
      <c r="I133" s="172" t="str">
        <f t="shared" si="19"/>
        <v xml:space="preserve">  </v>
      </c>
      <c r="J133" s="149"/>
      <c r="K133" s="289" t="str">
        <f>+IFERROR(VLOOKUP($J133,'11 FORMULAS'!$B$51:$C$53,2,0),"")</f>
        <v/>
      </c>
      <c r="L133" s="289" t="e">
        <f>+IF(J133="Preventivo","Probabilidad",IF(J133="Detectivo","Probabilidad",IF(#REF!="Correctivo","Impacto","")))</f>
        <v>#REF!</v>
      </c>
      <c r="M133" s="290"/>
      <c r="N133" s="289" t="str">
        <f>+IFERROR(VLOOKUP($M133,'11 FORMULAS'!$B$54:$C$55,2,0),"")</f>
        <v/>
      </c>
      <c r="O133" s="291"/>
      <c r="P133" s="291"/>
      <c r="Q133" s="291"/>
      <c r="R133" s="291"/>
      <c r="S133" s="289" t="str">
        <f t="shared" si="9"/>
        <v/>
      </c>
      <c r="T133" s="289" t="str">
        <f t="shared" si="17"/>
        <v/>
      </c>
      <c r="U133" s="289" t="str">
        <f t="shared" si="18"/>
        <v/>
      </c>
      <c r="V133" s="244"/>
    </row>
    <row r="134" spans="1:22" ht="40.5" customHeight="1" thickBot="1" x14ac:dyDescent="0.3">
      <c r="A134" s="228" t="str">
        <f>'2 CONTEXTO E IDENTIFICACIÓN'!A30</f>
        <v>R22</v>
      </c>
      <c r="B134" s="175" t="str">
        <f>+'2 CONTEXTO E IDENTIFICACIÓN'!J30</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C134" s="229">
        <f>+'3 PROBABIL E IMPACTO INHERENTE'!E30</f>
        <v>0.6</v>
      </c>
      <c r="D134" s="230">
        <f>+'3 PROBABIL E IMPACTO INHERENTE'!M30</f>
        <v>0.6</v>
      </c>
      <c r="E134" s="295">
        <v>1</v>
      </c>
      <c r="F134" s="286" t="str">
        <f>'5 VALORACIÓN CONTROL PROBAB.'!F134</f>
        <v>Los profesionales de la Dirección de gestión de demanda de cooperación internacional.</v>
      </c>
      <c r="G134" s="286" t="str">
        <f>'5 VALORACIÓN CONTROL PROBAB.'!G134</f>
        <v>Participar en el proceso de mejora continua de las herramientas de registro y divulgación de información sobre la cooperación internacional que recibe el país.</v>
      </c>
      <c r="H134" s="286" t="str">
        <f>'5 VALORACIÓN CONTROL PROBAB.'!H134</f>
        <v>En caso de presentarse, debido a que las propuestas de mejora no sean atendidas por el proceso Gestión de tecnologías de la información, la solicitud será elevada al(la) Director(a) administrativo(a) y financiero(a)</v>
      </c>
      <c r="I134" s="172" t="str">
        <f t="shared" si="19"/>
        <v>Los profesionales de la Dirección de gestión de demanda de cooperación internacional. Participar en el proceso de mejora continua de las herramientas de registro y divulgación de información sobre la cooperación internacional que recibe el país. En caso de presentarse, debido a que las propuestas de mejora no sean atendidas por el proceso Gestión de tecnologías de la información, la solicitud será elevada al(la) Director(a) administrativo(a) y financiero(a)</v>
      </c>
      <c r="J134" s="149"/>
      <c r="K134" s="289" t="str">
        <f>+IFERROR(VLOOKUP($J134,'11 FORMULAS'!$B$51:$C$53,2,0),"")</f>
        <v/>
      </c>
      <c r="L134" s="289" t="e">
        <f>+IF(J134="Preventivo","Probabilidad",IF(J134="Detectivo","Probabilidad",IF(#REF!="Correctivo","Impacto","")))</f>
        <v>#REF!</v>
      </c>
      <c r="M134" s="290"/>
      <c r="N134" s="289" t="str">
        <f>+IFERROR(VLOOKUP($M134,'11 FORMULAS'!$B$54:$C$55,2,0),"")</f>
        <v/>
      </c>
      <c r="O134" s="291"/>
      <c r="P134" s="291"/>
      <c r="Q134" s="291"/>
      <c r="R134" s="291"/>
      <c r="S134" s="289" t="str">
        <f t="shared" si="9"/>
        <v/>
      </c>
      <c r="T134" s="289" t="str">
        <f>+IFERROR(C134*S134,"")</f>
        <v/>
      </c>
      <c r="U134" s="289" t="str">
        <f>+IFERROR(C134-T134,"")</f>
        <v/>
      </c>
      <c r="V134" s="234">
        <f>+'3 PROBABIL E IMPACTO INHERENTE'!M30</f>
        <v>0.6</v>
      </c>
    </row>
    <row r="135" spans="1:22" ht="40.5" customHeight="1" thickBot="1" x14ac:dyDescent="0.3">
      <c r="A135" s="252"/>
      <c r="B135" s="188"/>
      <c r="C135" s="253"/>
      <c r="D135" s="254"/>
      <c r="E135" s="172">
        <v>2</v>
      </c>
      <c r="F135" s="286" t="str">
        <f>'5 VALORACIÓN CONTROL PROBAB.'!F135</f>
        <v xml:space="preserve">Los profesionales del grupo de certificados de utilidad común de la Dirección de gestión de demanda de cooperación internacional. </v>
      </c>
      <c r="G135" s="286" t="str">
        <f>'5 VALORACIÓN CONTROL PROBAB.'!G135</f>
        <v>Hacer seguimiento periódico a la matriz de seguimiento a solicitudes de CUC y consolidar bimestralmente una copia de dicha matriz con el propósito de garantizar el cumplimiento de los tiempos establecidos por el Decreto 1651 de 2021, para la expedición de Constancias de registro de proyectos y CUC.</v>
      </c>
      <c r="H135" s="286" t="str">
        <f>'5 VALORACIÓN CONTROL PROBAB.'!H135</f>
        <v>En caso de presentarse, debido a que alguna persona del equipo no haya dado respuesta y se aproxima la fecha de vencimiento, los profesionales del grupo de CUC informarán por correo electrónico al responsable y apoyarán (en caso de ser necesario), los avances en el trámite.</v>
      </c>
      <c r="I135" s="172" t="str">
        <f t="shared" ref="I135" si="20">+CONCATENATE(F135," ",G135," ",H135)</f>
        <v>Los profesionales del grupo de certificados de utilidad común de la Dirección de gestión de demanda de cooperación internacional.  Hacer seguimiento periódico a la matriz de seguimiento a solicitudes de CUC y consolidar bimestralmente una copia de dicha matriz con el propósito de garantizar el cumplimiento de los tiempos establecidos por el Decreto 1651 de 2021, para la expedición de Constancias de registro de proyectos y CUC. En caso de presentarse, debido a que alguna persona del equipo no haya dado respuesta y se aproxima la fecha de vencimiento, los profesionales del grupo de CUC informarán por correo electrónico al responsable y apoyarán (en caso de ser necesario), los avances en el trámite.</v>
      </c>
      <c r="J135" s="149"/>
      <c r="K135" s="289" t="str">
        <f>+IFERROR(VLOOKUP($J135,'11 FORMULAS'!$B$51:$C$53,2,0),"")</f>
        <v/>
      </c>
      <c r="L135" s="289" t="e">
        <f>+IF(J135="Preventivo","Probabilidad",IF(J135="Detectivo","Probabilidad",IF(#REF!="Correctivo","Impacto","")))</f>
        <v>#REF!</v>
      </c>
      <c r="M135" s="290"/>
      <c r="N135" s="289" t="str">
        <f>+IFERROR(VLOOKUP($M135,'11 FORMULAS'!$B$54:$C$55,2,0),"")</f>
        <v/>
      </c>
      <c r="O135" s="291"/>
      <c r="P135" s="291"/>
      <c r="Q135" s="291"/>
      <c r="R135" s="291"/>
      <c r="S135" s="289" t="str">
        <f t="shared" si="9"/>
        <v/>
      </c>
      <c r="T135" s="289" t="str">
        <f t="shared" ref="T135:T139" si="21">+IFERROR(C135*S135,"")</f>
        <v/>
      </c>
      <c r="U135" s="289" t="str">
        <f t="shared" ref="U135:U139" si="22">+IFERROR(S135-T135,"")</f>
        <v/>
      </c>
      <c r="V135" s="238"/>
    </row>
    <row r="136" spans="1:22" ht="40.5" customHeight="1" thickBot="1" x14ac:dyDescent="0.3">
      <c r="A136" s="252"/>
      <c r="B136" s="188"/>
      <c r="C136" s="253"/>
      <c r="D136" s="254"/>
      <c r="E136" s="172">
        <v>3</v>
      </c>
      <c r="F136" s="286" t="str">
        <f>'5 VALORACIÓN CONTROL PROBAB.'!F136</f>
        <v xml:space="preserve"> El profesional del grupo de convocatorias de la Dirección de gestión de demanda de cooperación internacional. </v>
      </c>
      <c r="G136" s="286" t="str">
        <f>'5 VALORACIÓN CONTROL PROBAB.'!G136</f>
        <v>Consolidar trimestralmente una copia de la plantilla estandarizada para la recolección y registro de la información sobre convocatorias internacionales en las que Colombia puede participar y que es actualizada permanentemente por los profesionales de la Dirección.</v>
      </c>
      <c r="H136" s="286" t="str">
        <f>'5 VALORACIÓN CONTROL PROBAB.'!H136</f>
        <v>En caso de presentarse, debido a que la información reportada no cumpla con los criterios de calidad establecidos, se genera correo electrónico a la fuente de información pidiendo la validación y corrección de la información</v>
      </c>
      <c r="I136" s="172" t="str">
        <f t="shared" ref="I136:I137" si="23">+CONCATENATE(F136," ",G136," ",H136)</f>
        <v xml:space="preserve"> El profesional del grupo de convocatorias de la Dirección de gestión de demanda de cooperación internacional.  Consolidar trimestralmente una copia de la plantilla estandarizada para la recolección y registro de la información sobre convocatorias internacionales en las que Colombia puede participar y que es actualizada permanentemente por los profesionales de la Dirección. En caso de presentarse, debido a que la información reportada no cumpla con los criterios de calidad establecidos, se genera correo electrónico a la fuente de información pidiendo la validación y corrección de la información</v>
      </c>
      <c r="J136" s="149"/>
      <c r="K136" s="289" t="str">
        <f>+IFERROR(VLOOKUP($J136,'11 FORMULAS'!$B$51:$C$53,2,0),"")</f>
        <v/>
      </c>
      <c r="L136" s="289" t="e">
        <f>+IF(J136="Preventivo","Probabilidad",IF(J136="Detectivo","Probabilidad",IF(#REF!="Correctivo","Impacto","")))</f>
        <v>#REF!</v>
      </c>
      <c r="M136" s="290"/>
      <c r="N136" s="289" t="str">
        <f>+IFERROR(VLOOKUP($M136,'11 FORMULAS'!$B$54:$C$55,2,0),"")</f>
        <v/>
      </c>
      <c r="O136" s="291"/>
      <c r="P136" s="291"/>
      <c r="Q136" s="291"/>
      <c r="R136" s="291"/>
      <c r="S136" s="289" t="str">
        <f t="shared" si="9"/>
        <v/>
      </c>
      <c r="T136" s="289" t="str">
        <f t="shared" si="21"/>
        <v/>
      </c>
      <c r="U136" s="289" t="str">
        <f t="shared" si="22"/>
        <v/>
      </c>
      <c r="V136" s="238"/>
    </row>
    <row r="137" spans="1:22" ht="40.5" customHeight="1" thickBot="1" x14ac:dyDescent="0.3">
      <c r="A137" s="235"/>
      <c r="B137" s="180"/>
      <c r="C137" s="236"/>
      <c r="D137" s="237"/>
      <c r="E137" s="172">
        <v>4</v>
      </c>
      <c r="F137" s="286" t="str">
        <f>'5 VALORACIÓN CONTROL PROBAB.'!F137</f>
        <v xml:space="preserve"> El profesional del grupo de convocatorias de la Dirección de gestión de demanda de cooperación internacional. </v>
      </c>
      <c r="G137" s="286" t="str">
        <f>'5 VALORACIÓN CONTROL PROBAB.'!G137</f>
        <v>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v>
      </c>
      <c r="H137" s="286" t="str">
        <f>'5 VALORACIÓN CONTROL PROBAB.'!H137</f>
        <v xml:space="preserve">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I137" s="172" t="str">
        <f t="shared" si="23"/>
        <v xml:space="preserve"> El profesional del grupo de convocatorias de la Dirección de gestión de demanda de cooperación internacional.  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J137" s="149"/>
      <c r="K137" s="289" t="str">
        <f>+IFERROR(VLOOKUP($J137,'11 FORMULAS'!$B$51:$C$53,2,0),"")</f>
        <v/>
      </c>
      <c r="L137" s="289" t="e">
        <f>+IF(J137="Preventivo","Probabilidad",IF(J137="Detectivo","Probabilidad",IF(#REF!="Correctivo","Impacto","")))</f>
        <v>#REF!</v>
      </c>
      <c r="M137" s="290"/>
      <c r="N137" s="289" t="str">
        <f>+IFERROR(VLOOKUP($M137,'11 FORMULAS'!$B$54:$C$55,2,0),"")</f>
        <v/>
      </c>
      <c r="O137" s="291"/>
      <c r="P137" s="291"/>
      <c r="Q137" s="291"/>
      <c r="R137" s="291"/>
      <c r="S137" s="289" t="str">
        <f t="shared" ref="S137:S193" si="24">+IFERROR($K137+$N137,"")</f>
        <v/>
      </c>
      <c r="T137" s="289" t="str">
        <f t="shared" si="21"/>
        <v/>
      </c>
      <c r="U137" s="289" t="str">
        <f t="shared" si="22"/>
        <v/>
      </c>
      <c r="V137" s="238"/>
    </row>
    <row r="138" spans="1:22" ht="40.5" customHeight="1" x14ac:dyDescent="0.25">
      <c r="A138" s="235"/>
      <c r="B138" s="180"/>
      <c r="C138" s="236"/>
      <c r="D138" s="237"/>
      <c r="E138" s="172">
        <v>5</v>
      </c>
      <c r="F138" s="286"/>
      <c r="G138" s="286"/>
      <c r="H138" s="286"/>
      <c r="I138" s="172"/>
      <c r="J138" s="149"/>
      <c r="K138" s="289" t="str">
        <f>+IFERROR(VLOOKUP($J138,'11 FORMULAS'!$B$51:$C$53,2,0),"")</f>
        <v/>
      </c>
      <c r="L138" s="289" t="e">
        <f>+IF(J138="Preventivo","Probabilidad",IF(J138="Detectivo","Probabilidad",IF(#REF!="Correctivo","Impacto","")))</f>
        <v>#REF!</v>
      </c>
      <c r="M138" s="290"/>
      <c r="N138" s="289" t="str">
        <f>+IFERROR(VLOOKUP($M138,'11 FORMULAS'!$B$54:$C$55,2,0),"")</f>
        <v/>
      </c>
      <c r="O138" s="291"/>
      <c r="P138" s="291"/>
      <c r="Q138" s="291"/>
      <c r="R138" s="291"/>
      <c r="S138" s="289" t="str">
        <f t="shared" si="24"/>
        <v/>
      </c>
      <c r="T138" s="289" t="str">
        <f t="shared" si="21"/>
        <v/>
      </c>
      <c r="U138" s="289" t="str">
        <f t="shared" si="22"/>
        <v/>
      </c>
      <c r="V138" s="238"/>
    </row>
    <row r="139" spans="1:22" ht="40.5" customHeight="1" thickBot="1" x14ac:dyDescent="0.3">
      <c r="A139" s="240"/>
      <c r="B139" s="182"/>
      <c r="C139" s="241"/>
      <c r="D139" s="242"/>
      <c r="E139" s="131">
        <v>6</v>
      </c>
      <c r="F139" s="293"/>
      <c r="G139" s="294"/>
      <c r="H139" s="294"/>
      <c r="I139" s="172" t="str">
        <f t="shared" ref="I139:I142" si="25">+CONCATENATE(F139," ",G139," ",H139)</f>
        <v xml:space="preserve">  </v>
      </c>
      <c r="J139" s="149"/>
      <c r="K139" s="289" t="str">
        <f>+IFERROR(VLOOKUP($J139,'11 FORMULAS'!$B$51:$C$53,2,0),"")</f>
        <v/>
      </c>
      <c r="L139" s="289" t="e">
        <f>+IF(J139="Preventivo","Probabilidad",IF(J139="Detectivo","Probabilidad",IF(#REF!="Correctivo","Impacto","")))</f>
        <v>#REF!</v>
      </c>
      <c r="M139" s="290"/>
      <c r="N139" s="289" t="str">
        <f>+IFERROR(VLOOKUP($M139,'11 FORMULAS'!$B$54:$C$55,2,0),"")</f>
        <v/>
      </c>
      <c r="O139" s="291"/>
      <c r="P139" s="291"/>
      <c r="Q139" s="291"/>
      <c r="R139" s="291"/>
      <c r="S139" s="289" t="str">
        <f t="shared" si="24"/>
        <v/>
      </c>
      <c r="T139" s="289" t="str">
        <f t="shared" si="21"/>
        <v/>
      </c>
      <c r="U139" s="289" t="str">
        <f t="shared" si="22"/>
        <v/>
      </c>
      <c r="V139" s="244"/>
    </row>
    <row r="140" spans="1:22" ht="40.5" customHeight="1" thickBot="1" x14ac:dyDescent="0.3">
      <c r="A140" s="228" t="str">
        <f>'2 CONTEXTO E IDENTIFICACIÓN'!A31</f>
        <v>R23</v>
      </c>
      <c r="B140" s="175" t="str">
        <f>+'2 CONTEXTO E IDENTIFICACIÓN'!J31</f>
        <v>Posibilidad de afectación reputacional por obtener beneficios tributarios  a causa de que no cumplen con los requisitos del Decreto 1651 de 2021</v>
      </c>
      <c r="C140" s="229">
        <f>+'3 PROBABIL E IMPACTO INHERENTE'!E31</f>
        <v>0.4</v>
      </c>
      <c r="D140" s="230">
        <f>+'3 PROBABIL E IMPACTO INHERENTE'!M31</f>
        <v>0.4</v>
      </c>
      <c r="E140" s="295">
        <v>1</v>
      </c>
      <c r="F140" s="286" t="str">
        <f>'5 VALORACIÓN CONTROL PROBAB.'!F140</f>
        <v xml:space="preserve">Los profesionales del grupo de certificados de utilidad común de la Dirección de gestión de demanda de cooperación internacional. </v>
      </c>
      <c r="G140" s="286" t="str">
        <f>'5 VALORACIÓN CONTROL PROBAB.'!G140</f>
        <v>Mantener campañas informativas sobre el proceso y los mecanismos de validación de CUC</v>
      </c>
      <c r="H140" s="286" t="str">
        <f>'5 VALORACIÓN CONTROL PROBAB.'!H140</f>
        <v>En caso de no poderse avanzar con campañas informativas, se programarán capacitaciones y/o charlas específicas a grupos de valor que puedan verse afectados por el riesgo identificado. Adicionalmente, se publicará información de manera permanente en la página Web de la Agencia.</v>
      </c>
      <c r="I140" s="172" t="str">
        <f t="shared" si="25"/>
        <v>Los profesionales del grupo de certificados de utilidad común de la Dirección de gestión de demanda de cooperación internacional.  Mantener campañas informativas sobre el proceso y los mecanismos de validación de CUC En caso de no poderse avanzar con campañas informativas, se programarán capacitaciones y/o charlas específicas a grupos de valor que puedan verse afectados por el riesgo identificado. Adicionalmente, se publicará información de manera permanente en la página Web de la Agencia.</v>
      </c>
      <c r="J140" s="149"/>
      <c r="K140" s="289" t="str">
        <f>+IFERROR(VLOOKUP($J140,'11 FORMULAS'!$B$51:$C$53,2,0),"")</f>
        <v/>
      </c>
      <c r="L140" s="289" t="e">
        <f>+IF(J140="Preventivo","Probabilidad",IF(J140="Detectivo","Probabilidad",IF(#REF!="Correctivo","Impacto","")))</f>
        <v>#REF!</v>
      </c>
      <c r="M140" s="290"/>
      <c r="N140" s="289" t="str">
        <f>+IFERROR(VLOOKUP($M140,'11 FORMULAS'!$B$54:$C$55,2,0),"")</f>
        <v/>
      </c>
      <c r="O140" s="291"/>
      <c r="P140" s="291"/>
      <c r="Q140" s="291"/>
      <c r="R140" s="291"/>
      <c r="S140" s="289" t="str">
        <f t="shared" si="24"/>
        <v/>
      </c>
      <c r="T140" s="289" t="str">
        <f>+IFERROR(C140*S140,"")</f>
        <v/>
      </c>
      <c r="U140" s="289" t="str">
        <f>+IFERROR(C140-T140,"")</f>
        <v/>
      </c>
      <c r="V140" s="234">
        <f>+'3 PROBABIL E IMPACTO INHERENTE'!M31</f>
        <v>0.4</v>
      </c>
    </row>
    <row r="141" spans="1:22" ht="40.5" customHeight="1" thickBot="1" x14ac:dyDescent="0.3">
      <c r="A141" s="252"/>
      <c r="B141" s="188"/>
      <c r="C141" s="253"/>
      <c r="D141" s="254"/>
      <c r="E141" s="172">
        <v>2</v>
      </c>
      <c r="F141" s="286" t="str">
        <f>'5 VALORACIÓN CONTROL PROBAB.'!F141</f>
        <v>El profesional del grupo de convocatorias de la Dirección de gestión de demanda de cooperación internacional.</v>
      </c>
      <c r="G141" s="286" t="str">
        <f>'5 VALORACIÓN CONTROL PROBAB.'!G141</f>
        <v>Consolidar trimestralmente una copia de la plantilla estandarizada para la recolección y registro de la información sobre convocatorias internacionales en las que Colombia puede participar y que es actualizada permanentemente por los profesionales de la Dirección.</v>
      </c>
      <c r="H141" s="286" t="str">
        <f>'5 VALORACIÓN CONTROL PROBAB.'!H141</f>
        <v>En caso de presentarse, debido a que la información reportada no cumpla con los criterios de calidad establecidos, se genera correo electrónico a la fuente de información pidiendo la validación y corrección de la información.</v>
      </c>
      <c r="I141" s="172" t="str">
        <f t="shared" si="25"/>
        <v>El profesional del grupo de convocatorias de la Dirección de gestión de demanda de cooperación internacional. Consolidar trimestralmente una copia de la plantilla estandarizada para la recolección y registro de la información sobre convocatorias internacionales en las que Colombia puede participar y que es actualizada permanentemente por los profesionales de la Dirección. En caso de presentarse, debido a que la información reportada no cumpla con los criterios de calidad establecidos, se genera correo electrónico a la fuente de información pidiendo la validación y corrección de la información.</v>
      </c>
      <c r="J141" s="149"/>
      <c r="K141" s="289" t="str">
        <f>+IFERROR(VLOOKUP($J141,'11 FORMULAS'!$B$51:$C$53,2,0),"")</f>
        <v/>
      </c>
      <c r="L141" s="289" t="e">
        <f>+IF(J141="Preventivo","Probabilidad",IF(J141="Detectivo","Probabilidad",IF(#REF!="Correctivo","Impacto","")))</f>
        <v>#REF!</v>
      </c>
      <c r="M141" s="290"/>
      <c r="N141" s="289" t="str">
        <f>+IFERROR(VLOOKUP($M141,'11 FORMULAS'!$B$54:$C$55,2,0),"")</f>
        <v/>
      </c>
      <c r="O141" s="291"/>
      <c r="P141" s="291"/>
      <c r="Q141" s="291"/>
      <c r="R141" s="291"/>
      <c r="S141" s="289" t="str">
        <f t="shared" si="24"/>
        <v/>
      </c>
      <c r="T141" s="289" t="str">
        <f t="shared" ref="T141:T145" si="26">+IFERROR(C141*S141,"")</f>
        <v/>
      </c>
      <c r="U141" s="289" t="str">
        <f t="shared" ref="U141:U145" si="27">+IFERROR(S141-T141,"")</f>
        <v/>
      </c>
      <c r="V141" s="238"/>
    </row>
    <row r="142" spans="1:22" ht="68.099999999999994" customHeight="1" thickBot="1" x14ac:dyDescent="0.3">
      <c r="A142" s="252"/>
      <c r="B142" s="188"/>
      <c r="C142" s="253"/>
      <c r="D142" s="254"/>
      <c r="E142" s="172">
        <v>3</v>
      </c>
      <c r="F142" s="286" t="str">
        <f>'5 VALORACIÓN CONTROL PROBAB.'!F142</f>
        <v>El profesional responsable del registro de convocatorias internacionales.</v>
      </c>
      <c r="G142" s="286" t="str">
        <f>'5 VALORACIÓN CONTROL PROBAB.'!G142</f>
        <v>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v>
      </c>
      <c r="H142" s="286" t="str">
        <f>'5 VALORACIÓN CONTROL PROBAB.'!H142</f>
        <v>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I142" s="172" t="str">
        <f t="shared" si="25"/>
        <v>El profesional responsable del registro de convocatorias internacionales. Realizar la verificación y validación de las fuentes de información y la calidad de la información registrada en la plantilla de convocatoria y consolida trimestralmente una copia de la misma, con el propósito de garantizar la confiabilidad de la  información que se publica en la sede elecrónica de APC-Colombia. En caso de presentarse, porque la convocatoria registrada no cumple con los requisitos de validación, la convocatoria es marcada como no apta para publicación. Se genera como evidencia la copia de la plantilla de validación con el seguimiento a los criterios de verificación para cada registro.</v>
      </c>
      <c r="J142" s="149"/>
      <c r="K142" s="289" t="str">
        <f>+IFERROR(VLOOKUP($J142,'11 FORMULAS'!$B$51:$C$53,2,0),"")</f>
        <v/>
      </c>
      <c r="L142" s="289" t="e">
        <f>+IF(J142="Preventivo","Probabilidad",IF(J142="Detectivo","Probabilidad",IF(#REF!="Correctivo","Impacto","")))</f>
        <v>#REF!</v>
      </c>
      <c r="M142" s="290"/>
      <c r="N142" s="289" t="str">
        <f>+IFERROR(VLOOKUP($M142,'11 FORMULAS'!$B$54:$C$55,2,0),"")</f>
        <v/>
      </c>
      <c r="O142" s="291"/>
      <c r="P142" s="291"/>
      <c r="Q142" s="291"/>
      <c r="R142" s="291"/>
      <c r="S142" s="289" t="str">
        <f t="shared" si="24"/>
        <v/>
      </c>
      <c r="T142" s="289" t="str">
        <f t="shared" si="26"/>
        <v/>
      </c>
      <c r="U142" s="289" t="str">
        <f t="shared" si="27"/>
        <v/>
      </c>
      <c r="V142" s="238"/>
    </row>
    <row r="143" spans="1:22" ht="40.5" customHeight="1" thickBot="1" x14ac:dyDescent="0.3">
      <c r="A143" s="235"/>
      <c r="B143" s="180"/>
      <c r="C143" s="236"/>
      <c r="D143" s="237"/>
      <c r="E143" s="172">
        <v>4</v>
      </c>
      <c r="F143" s="286"/>
      <c r="G143" s="286"/>
      <c r="H143" s="286"/>
      <c r="I143" s="172"/>
      <c r="J143" s="149"/>
      <c r="K143" s="289" t="str">
        <f>+IFERROR(VLOOKUP($J143,'11 FORMULAS'!$B$51:$C$53,2,0),"")</f>
        <v/>
      </c>
      <c r="L143" s="289" t="e">
        <f>+IF(J143="Preventivo","Probabilidad",IF(J143="Detectivo","Probabilidad",IF(#REF!="Correctivo","Impacto","")))</f>
        <v>#REF!</v>
      </c>
      <c r="M143" s="290"/>
      <c r="N143" s="289" t="str">
        <f>+IFERROR(VLOOKUP($M143,'11 FORMULAS'!$B$54:$C$55,2,0),"")</f>
        <v/>
      </c>
      <c r="O143" s="291"/>
      <c r="P143" s="291"/>
      <c r="Q143" s="291"/>
      <c r="R143" s="291"/>
      <c r="S143" s="289" t="str">
        <f t="shared" si="24"/>
        <v/>
      </c>
      <c r="T143" s="289" t="str">
        <f t="shared" si="26"/>
        <v/>
      </c>
      <c r="U143" s="289" t="str">
        <f t="shared" si="27"/>
        <v/>
      </c>
      <c r="V143" s="238"/>
    </row>
    <row r="144" spans="1:22" ht="40.5" customHeight="1" x14ac:dyDescent="0.25">
      <c r="A144" s="235"/>
      <c r="B144" s="180"/>
      <c r="C144" s="236"/>
      <c r="D144" s="237"/>
      <c r="E144" s="172">
        <v>5</v>
      </c>
      <c r="F144" s="286"/>
      <c r="G144" s="286"/>
      <c r="H144" s="286"/>
      <c r="I144" s="172"/>
      <c r="J144" s="149"/>
      <c r="K144" s="289" t="str">
        <f>+IFERROR(VLOOKUP($J144,'11 FORMULAS'!$B$51:$C$53,2,0),"")</f>
        <v/>
      </c>
      <c r="L144" s="289" t="e">
        <f>+IF(J144="Preventivo","Probabilidad",IF(J144="Detectivo","Probabilidad",IF(#REF!="Correctivo","Impacto","")))</f>
        <v>#REF!</v>
      </c>
      <c r="M144" s="290"/>
      <c r="N144" s="289" t="str">
        <f>+IFERROR(VLOOKUP($M144,'11 FORMULAS'!$B$54:$C$55,2,0),"")</f>
        <v/>
      </c>
      <c r="O144" s="291"/>
      <c r="P144" s="291"/>
      <c r="Q144" s="291"/>
      <c r="R144" s="291"/>
      <c r="S144" s="289" t="str">
        <f t="shared" si="24"/>
        <v/>
      </c>
      <c r="T144" s="289" t="str">
        <f t="shared" si="26"/>
        <v/>
      </c>
      <c r="U144" s="289" t="str">
        <f t="shared" si="27"/>
        <v/>
      </c>
      <c r="V144" s="238"/>
    </row>
    <row r="145" spans="1:22" ht="40.5" customHeight="1" thickBot="1" x14ac:dyDescent="0.3">
      <c r="A145" s="240"/>
      <c r="B145" s="182"/>
      <c r="C145" s="241"/>
      <c r="D145" s="242"/>
      <c r="E145" s="131">
        <v>6</v>
      </c>
      <c r="F145" s="293"/>
      <c r="G145" s="294"/>
      <c r="H145" s="294"/>
      <c r="I145" s="172" t="str">
        <f t="shared" ref="I145:I193" si="28">+CONCATENATE(F145," ",G145," ",H145)</f>
        <v xml:space="preserve">  </v>
      </c>
      <c r="J145" s="149"/>
      <c r="K145" s="289" t="str">
        <f>+IFERROR(VLOOKUP($J145,'11 FORMULAS'!$B$51:$C$53,2,0),"")</f>
        <v/>
      </c>
      <c r="L145" s="289" t="e">
        <f>+IF(J145="Preventivo","Probabilidad",IF(J145="Detectivo","Probabilidad",IF(#REF!="Correctivo","Impacto","")))</f>
        <v>#REF!</v>
      </c>
      <c r="M145" s="290"/>
      <c r="N145" s="289" t="str">
        <f>+IFERROR(VLOOKUP($M145,'11 FORMULAS'!$B$54:$C$55,2,0),"")</f>
        <v/>
      </c>
      <c r="O145" s="291"/>
      <c r="P145" s="291"/>
      <c r="Q145" s="291"/>
      <c r="R145" s="291"/>
      <c r="S145" s="289" t="str">
        <f t="shared" si="24"/>
        <v/>
      </c>
      <c r="T145" s="289" t="str">
        <f t="shared" si="26"/>
        <v/>
      </c>
      <c r="U145" s="289" t="str">
        <f t="shared" si="27"/>
        <v/>
      </c>
      <c r="V145" s="244"/>
    </row>
    <row r="146" spans="1:22" ht="40.5" customHeight="1" thickBot="1" x14ac:dyDescent="0.3">
      <c r="A146" s="228" t="str">
        <f>'2 CONTEXTO E IDENTIFICACIÓN'!A32</f>
        <v>R24</v>
      </c>
      <c r="B146" s="175" t="str">
        <f>+'2 CONTEXTO E IDENTIFICACIÓN'!J32</f>
        <v>Posibilidad de afectación económica y reputacional porsanción, multa o penalidad a causa de   la indebida supervisión de los contratos o convenios suscritos</v>
      </c>
      <c r="C146" s="229">
        <f>+'3 PROBABIL E IMPACTO INHERENTE'!E32</f>
        <v>0.6</v>
      </c>
      <c r="D146" s="230">
        <f>+'3 PROBABIL E IMPACTO INHERENTE'!M32</f>
        <v>0.6</v>
      </c>
      <c r="E146" s="295">
        <v>1</v>
      </c>
      <c r="F146" s="286" t="str">
        <f>'5 VALORACIÓN CONTROL PROBAB.'!F146</f>
        <v xml:space="preserve">El(la) coordinador(a) del grupo interno de trabajo de Gestión contractual. </v>
      </c>
      <c r="G146" s="286" t="str">
        <f>'5 VALORACIÓN CONTROL PROBAB.'!G146</f>
        <v>Gestionar la capacitación a los supervisores en normatividad y regulación interna, en cuanto a las funciones del supervisor de contratos o convenios.</v>
      </c>
      <c r="H146" s="286" t="str">
        <f>'5 VALORACIÓN CONTROL PROBAB.'!H146</f>
        <v xml:space="preserve">Cuando aplique se realiza ajustes necesarios frente a los temas a capacitar y/o reprograma la capacitación. </v>
      </c>
      <c r="I146" s="172" t="str">
        <f t="shared" ref="I146:I147" si="29">+CONCATENATE(F146," ",G146," ",H146)</f>
        <v xml:space="preserve">El(la) coordinador(a) del grupo interno de trabajo de Gestión contractual.  Gestionar la capacitación a los supervisores en normatividad y regulación interna, en cuanto a las funciones del supervisor de contratos o convenios. Cuando aplique se realiza ajustes necesarios frente a los temas a capacitar y/o reprograma la capacitación. </v>
      </c>
      <c r="J146" s="149"/>
      <c r="K146" s="289" t="str">
        <f>+IFERROR(VLOOKUP($J146,'11 FORMULAS'!$B$51:$C$53,2,0),"")</f>
        <v/>
      </c>
      <c r="L146" s="289" t="e">
        <f>+IF(J146="Preventivo","Probabilidad",IF(J146="Detectivo","Probabilidad",IF(#REF!="Correctivo","Impacto","")))</f>
        <v>#REF!</v>
      </c>
      <c r="M146" s="290"/>
      <c r="N146" s="289" t="str">
        <f>+IFERROR(VLOOKUP($M146,'11 FORMULAS'!$B$54:$C$55,2,0),"")</f>
        <v/>
      </c>
      <c r="O146" s="291"/>
      <c r="P146" s="291"/>
      <c r="Q146" s="291"/>
      <c r="R146" s="291"/>
      <c r="S146" s="289" t="str">
        <f t="shared" si="24"/>
        <v/>
      </c>
      <c r="T146" s="289" t="str">
        <f>+IFERROR(C146*S146,"")</f>
        <v/>
      </c>
      <c r="U146" s="289" t="str">
        <f>+IFERROR(C146-T146,"")</f>
        <v/>
      </c>
      <c r="V146" s="234">
        <f>+'3 PROBABIL E IMPACTO INHERENTE'!M32</f>
        <v>0.6</v>
      </c>
    </row>
    <row r="147" spans="1:22" ht="40.5" customHeight="1" thickBot="1" x14ac:dyDescent="0.3">
      <c r="A147" s="252"/>
      <c r="B147" s="188"/>
      <c r="C147" s="253"/>
      <c r="D147" s="254"/>
      <c r="E147" s="172">
        <v>2</v>
      </c>
      <c r="F147" s="286" t="str">
        <f>'5 VALORACIÓN CONTROL PROBAB.'!F147</f>
        <v xml:space="preserve">El(la) coordinador(a) del grupo interno de trabajo de gestión contractual. </v>
      </c>
      <c r="G147" s="286" t="str">
        <f>'5 VALORACIÓN CONTROL PROBAB.'!G147</f>
        <v>Realizar la verificación del cargue de los informes de seguimiento de contratos y convenios en SECOP II para pagos en SIIF Nación.</v>
      </c>
      <c r="H147" s="286" t="str">
        <f>'5 VALORACIÓN CONTROL PROBAB.'!H147</f>
        <v xml:space="preserve">nforma al jefe inmediato del supervisor del contrato o convenio para la toma de acciones correctivas frente a la situación presentada. </v>
      </c>
      <c r="I147" s="172" t="str">
        <f t="shared" si="29"/>
        <v xml:space="preserve">El(la) coordinador(a) del grupo interno de trabajo de gestión contractual.  Realizar la verificación del cargue de los informes de seguimiento de contratos y convenios en SECOP II para pagos en SIIF Nación. nforma al jefe inmediato del supervisor del contrato o convenio para la toma de acciones correctivas frente a la situación presentada. </v>
      </c>
      <c r="J147" s="149"/>
      <c r="K147" s="289" t="str">
        <f>+IFERROR(VLOOKUP($J147,'11 FORMULAS'!$B$51:$C$53,2,0),"")</f>
        <v/>
      </c>
      <c r="L147" s="289" t="e">
        <f>+IF(J147="Preventivo","Probabilidad",IF(J147="Detectivo","Probabilidad",IF(#REF!="Correctivo","Impacto","")))</f>
        <v>#REF!</v>
      </c>
      <c r="M147" s="290"/>
      <c r="N147" s="289" t="str">
        <f>+IFERROR(VLOOKUP($M147,'11 FORMULAS'!$B$54:$C$55,2,0),"")</f>
        <v/>
      </c>
      <c r="O147" s="291"/>
      <c r="P147" s="291"/>
      <c r="Q147" s="291"/>
      <c r="R147" s="291"/>
      <c r="S147" s="289" t="str">
        <f t="shared" si="24"/>
        <v/>
      </c>
      <c r="T147" s="289" t="str">
        <f t="shared" ref="T147:T151" si="30">+IFERROR(C147*S147,"")</f>
        <v/>
      </c>
      <c r="U147" s="289" t="str">
        <f t="shared" ref="U147:U151" si="31">+IFERROR(S147-T147,"")</f>
        <v/>
      </c>
      <c r="V147" s="238"/>
    </row>
    <row r="148" spans="1:22" ht="40.5" customHeight="1" thickBot="1" x14ac:dyDescent="0.3">
      <c r="A148" s="252"/>
      <c r="B148" s="188"/>
      <c r="C148" s="253"/>
      <c r="D148" s="254"/>
      <c r="E148" s="172">
        <v>3</v>
      </c>
      <c r="F148" s="286" t="str">
        <f>'5 VALORACIÓN CONTROL PROBAB.'!F148</f>
        <v xml:space="preserve">El(la) ordenador(a) del gasto, el(la) director(a) general, los directores técnicos, y el(la)
coordinador(a) del grupo interno de trabajo de Gestión contractual. </v>
      </c>
      <c r="G148" s="286" t="str">
        <f>'5 VALORACIÓN CONTROL PROBAB.'!G148</f>
        <v xml:space="preserve">Realizar seguimiento a la supervisión de contratos y convenios suscritos. </v>
      </c>
      <c r="H148" s="286" t="str">
        <f>'5 VALORACIÓN CONTROL PROBAB.'!H148</f>
        <v>Se analizan  las novedades presentadas en el ejercicio de la supervisón para tomar las medidas respectivas, escalando a la instancia correspondiente y evitar la la indebida supervisión de los contratos o convenios suscritos.</v>
      </c>
      <c r="I148" s="172" t="str">
        <f t="shared" ref="I148" si="32">+CONCATENATE(F148," ",G148," ",H148)</f>
        <v>El(la) ordenador(a) del gasto, el(la) director(a) general, los directores técnicos, y el(la)
coordinador(a) del grupo interno de trabajo de Gestión contractual.  Realizar seguimiento a la supervisión de contratos y convenios suscritos.  Se analizan  las novedades presentadas en el ejercicio de la supervisón para tomar las medidas respectivas, escalando a la instancia correspondiente y evitar la la indebida supervisión de los contratos o convenios suscritos.</v>
      </c>
      <c r="J148" s="149"/>
      <c r="K148" s="289" t="str">
        <f>+IFERROR(VLOOKUP($J148,'11 FORMULAS'!$B$51:$C$53,2,0),"")</f>
        <v/>
      </c>
      <c r="L148" s="289" t="e">
        <f>+IF(J148="Preventivo","Probabilidad",IF(J148="Detectivo","Probabilidad",IF(#REF!="Correctivo","Impacto","")))</f>
        <v>#REF!</v>
      </c>
      <c r="M148" s="290"/>
      <c r="N148" s="289" t="str">
        <f>+IFERROR(VLOOKUP($M148,'11 FORMULAS'!$B$54:$C$55,2,0),"")</f>
        <v/>
      </c>
      <c r="O148" s="291"/>
      <c r="P148" s="291"/>
      <c r="Q148" s="291"/>
      <c r="R148" s="291"/>
      <c r="S148" s="289" t="str">
        <f t="shared" si="24"/>
        <v/>
      </c>
      <c r="T148" s="289" t="str">
        <f t="shared" si="30"/>
        <v/>
      </c>
      <c r="U148" s="289" t="str">
        <f t="shared" si="31"/>
        <v/>
      </c>
      <c r="V148" s="238"/>
    </row>
    <row r="149" spans="1:22" ht="40.5" customHeight="1" x14ac:dyDescent="0.25">
      <c r="A149" s="235"/>
      <c r="B149" s="180"/>
      <c r="C149" s="236"/>
      <c r="D149" s="237"/>
      <c r="E149" s="172">
        <v>4</v>
      </c>
      <c r="F149" s="286"/>
      <c r="G149" s="286"/>
      <c r="H149" s="286"/>
      <c r="I149" s="172"/>
      <c r="J149" s="149"/>
      <c r="K149" s="289" t="str">
        <f>+IFERROR(VLOOKUP($J149,'11 FORMULAS'!$B$51:$C$53,2,0),"")</f>
        <v/>
      </c>
      <c r="L149" s="289" t="e">
        <f>+IF(J149="Preventivo","Probabilidad",IF(J149="Detectivo","Probabilidad",IF(#REF!="Correctivo","Impacto","")))</f>
        <v>#REF!</v>
      </c>
      <c r="M149" s="290"/>
      <c r="N149" s="289" t="str">
        <f>+IFERROR(VLOOKUP($M149,'11 FORMULAS'!$B$54:$C$55,2,0),"")</f>
        <v/>
      </c>
      <c r="O149" s="291"/>
      <c r="P149" s="291"/>
      <c r="Q149" s="291"/>
      <c r="R149" s="291"/>
      <c r="S149" s="289" t="str">
        <f t="shared" si="24"/>
        <v/>
      </c>
      <c r="T149" s="289" t="str">
        <f t="shared" si="30"/>
        <v/>
      </c>
      <c r="U149" s="289" t="str">
        <f t="shared" si="31"/>
        <v/>
      </c>
      <c r="V149" s="238"/>
    </row>
    <row r="150" spans="1:22" ht="40.5" customHeight="1" x14ac:dyDescent="0.25">
      <c r="A150" s="235"/>
      <c r="B150" s="180"/>
      <c r="C150" s="236"/>
      <c r="D150" s="237"/>
      <c r="E150" s="172">
        <v>5</v>
      </c>
      <c r="F150" s="292"/>
      <c r="G150" s="149"/>
      <c r="H150" s="149"/>
      <c r="I150" s="172" t="str">
        <f t="shared" si="28"/>
        <v xml:space="preserve">  </v>
      </c>
      <c r="J150" s="149"/>
      <c r="K150" s="289" t="str">
        <f>+IFERROR(VLOOKUP($J150,'11 FORMULAS'!$B$51:$C$53,2,0),"")</f>
        <v/>
      </c>
      <c r="L150" s="289" t="e">
        <f>+IF(J150="Preventivo","Probabilidad",IF(J150="Detectivo","Probabilidad",IF(#REF!="Correctivo","Impacto","")))</f>
        <v>#REF!</v>
      </c>
      <c r="M150" s="290"/>
      <c r="N150" s="289" t="str">
        <f>+IFERROR(VLOOKUP($M150,'11 FORMULAS'!$B$54:$C$55,2,0),"")</f>
        <v/>
      </c>
      <c r="O150" s="291"/>
      <c r="P150" s="291"/>
      <c r="Q150" s="291"/>
      <c r="R150" s="291"/>
      <c r="S150" s="289" t="str">
        <f t="shared" si="24"/>
        <v/>
      </c>
      <c r="T150" s="289" t="str">
        <f t="shared" si="30"/>
        <v/>
      </c>
      <c r="U150" s="289" t="str">
        <f t="shared" si="31"/>
        <v/>
      </c>
      <c r="V150" s="238"/>
    </row>
    <row r="151" spans="1:22" ht="40.5" customHeight="1" thickBot="1" x14ac:dyDescent="0.3">
      <c r="A151" s="240"/>
      <c r="B151" s="182"/>
      <c r="C151" s="241"/>
      <c r="D151" s="242"/>
      <c r="E151" s="131">
        <v>6</v>
      </c>
      <c r="F151" s="293"/>
      <c r="G151" s="294"/>
      <c r="H151" s="294"/>
      <c r="I151" s="172" t="str">
        <f t="shared" si="28"/>
        <v xml:space="preserve">  </v>
      </c>
      <c r="J151" s="149"/>
      <c r="K151" s="289" t="str">
        <f>+IFERROR(VLOOKUP($J151,'11 FORMULAS'!$B$51:$C$53,2,0),"")</f>
        <v/>
      </c>
      <c r="L151" s="289" t="e">
        <f>+IF(J151="Preventivo","Probabilidad",IF(J151="Detectivo","Probabilidad",IF(#REF!="Correctivo","Impacto","")))</f>
        <v>#REF!</v>
      </c>
      <c r="M151" s="290"/>
      <c r="N151" s="289" t="str">
        <f>+IFERROR(VLOOKUP($M151,'11 FORMULAS'!$B$54:$C$55,2,0),"")</f>
        <v/>
      </c>
      <c r="O151" s="291"/>
      <c r="P151" s="291"/>
      <c r="Q151" s="291"/>
      <c r="R151" s="291"/>
      <c r="S151" s="289" t="str">
        <f t="shared" si="24"/>
        <v/>
      </c>
      <c r="T151" s="289" t="str">
        <f t="shared" si="30"/>
        <v/>
      </c>
      <c r="U151" s="289" t="str">
        <f t="shared" si="31"/>
        <v/>
      </c>
      <c r="V151" s="244"/>
    </row>
    <row r="152" spans="1:22" ht="40.5" customHeight="1" thickBot="1" x14ac:dyDescent="0.3">
      <c r="A152" s="228" t="str">
        <f>'2 CONTEXTO E IDENTIFICACIÓN'!A33</f>
        <v>R25</v>
      </c>
      <c r="B152" s="175" t="str">
        <f>+'2 CONTEXTO E IDENTIFICACIÓN'!J33</f>
        <v>Posibilidad de afectación económica y reputacional por una sanción de las autoridades competentes a causa de  favorecimiento indebido a un tercero con los recursos asignados de contrapartida</v>
      </c>
      <c r="C152" s="229">
        <f>+'3 PROBABIL E IMPACTO INHERENTE'!E33</f>
        <v>0.4</v>
      </c>
      <c r="D152" s="230">
        <f>+'3 PROBABIL E IMPACTO INHERENTE'!M33</f>
        <v>0.4</v>
      </c>
      <c r="E152" s="295">
        <v>1</v>
      </c>
      <c r="F152" s="286" t="str">
        <f>'5 VALORACIÓN CONTROL PROBAB.'!F152</f>
        <v xml:space="preserve">Profesionales y contratistas que hacen parte del grupo interno de trabajo de apoyos financieros para la  cooperación internacional . </v>
      </c>
      <c r="G152" s="286" t="str">
        <f>'5 VALORACIÓN CONTROL PROBAB.'!G152</f>
        <v>Generar criterios de evaluación tecnica, financiera y legal de la iniciativas propuestas garantizando imparcialidad, e igualdad de condiciones en cualquiera de las metodologias de identificación y selección  de iniciativas contempladas en el manual de contrapartidas nacional.</v>
      </c>
      <c r="H152" s="286" t="str">
        <f>'5 VALORACIÓN CONTROL PROBAB.'!H152</f>
        <v xml:space="preserve"> En caso de que se consideren los criterios insuficientes, se invitará a la mesa tecnica, miembros de otras direcciones misionales de la entidad para ajustar los criterios y su medida de calificación.</v>
      </c>
      <c r="I152" s="172" t="str">
        <f t="shared" si="28"/>
        <v>Profesionales y contratistas que hacen parte del grupo interno de trabajo de apoyos financieros para la  cooperación internacional .  Generar criterios de evaluación tecnica, financiera y legal de la iniciativas propuestas garantizando imparcialidad, e igualdad de condiciones en cualquiera de las metodologias de identificación y selección  de iniciativas contempladas en el manual de contrapartidas nacional.  En caso de que se consideren los criterios insuficientes, se invitará a la mesa tecnica, miembros de otras direcciones misionales de la entidad para ajustar los criterios y su medida de calificación.</v>
      </c>
      <c r="J152" s="149"/>
      <c r="K152" s="289" t="str">
        <f>+IFERROR(VLOOKUP($J152,'11 FORMULAS'!$B$51:$C$53,2,0),"")</f>
        <v/>
      </c>
      <c r="L152" s="289" t="e">
        <f>+IF(J152="Preventivo","Probabilidad",IF(J152="Detectivo","Probabilidad",IF(#REF!="Correctivo","Impacto","")))</f>
        <v>#REF!</v>
      </c>
      <c r="M152" s="290"/>
      <c r="N152" s="289" t="str">
        <f>+IFERROR(VLOOKUP($M152,'11 FORMULAS'!$B$54:$C$55,2,0),"")</f>
        <v/>
      </c>
      <c r="O152" s="291"/>
      <c r="P152" s="291"/>
      <c r="Q152" s="291"/>
      <c r="R152" s="291"/>
      <c r="S152" s="289" t="str">
        <f t="shared" si="24"/>
        <v/>
      </c>
      <c r="T152" s="289" t="str">
        <f>+IFERROR(C152*S152,"")</f>
        <v/>
      </c>
      <c r="U152" s="289" t="str">
        <f>+IFERROR(C152-T152,"")</f>
        <v/>
      </c>
      <c r="V152" s="234">
        <f>+'3 PROBABIL E IMPACTO INHERENTE'!M33</f>
        <v>0.4</v>
      </c>
    </row>
    <row r="153" spans="1:22" ht="40.5" customHeight="1" x14ac:dyDescent="0.25">
      <c r="A153" s="252"/>
      <c r="B153" s="188"/>
      <c r="C153" s="253"/>
      <c r="D153" s="254"/>
      <c r="E153" s="172">
        <v>2</v>
      </c>
      <c r="F153" s="286"/>
      <c r="G153" s="286"/>
      <c r="H153" s="286"/>
      <c r="I153" s="172"/>
      <c r="J153" s="149"/>
      <c r="K153" s="289" t="str">
        <f>+IFERROR(VLOOKUP($J153,'11 FORMULAS'!$B$51:$C$53,2,0),"")</f>
        <v/>
      </c>
      <c r="L153" s="289" t="e">
        <f>+IF(J153="Preventivo","Probabilidad",IF(J153="Detectivo","Probabilidad",IF(#REF!="Correctivo","Impacto","")))</f>
        <v>#REF!</v>
      </c>
      <c r="M153" s="290"/>
      <c r="N153" s="289" t="str">
        <f>+IFERROR(VLOOKUP($M153,'11 FORMULAS'!$B$54:$C$55,2,0),"")</f>
        <v/>
      </c>
      <c r="O153" s="291"/>
      <c r="P153" s="291"/>
      <c r="Q153" s="291"/>
      <c r="R153" s="291"/>
      <c r="S153" s="289" t="str">
        <f t="shared" si="24"/>
        <v/>
      </c>
      <c r="T153" s="289" t="str">
        <f t="shared" ref="T153:T157" si="33">+IFERROR(C153*S153,"")</f>
        <v/>
      </c>
      <c r="U153" s="289" t="str">
        <f t="shared" ref="U153:U157" si="34">+IFERROR(S153-T153,"")</f>
        <v/>
      </c>
      <c r="V153" s="238"/>
    </row>
    <row r="154" spans="1:22" ht="40.5" customHeight="1" x14ac:dyDescent="0.25">
      <c r="A154" s="252"/>
      <c r="B154" s="188"/>
      <c r="C154" s="253"/>
      <c r="D154" s="254"/>
      <c r="E154" s="172">
        <v>3</v>
      </c>
      <c r="F154" s="298"/>
      <c r="G154" s="299"/>
      <c r="H154" s="299"/>
      <c r="I154" s="172" t="str">
        <f t="shared" si="28"/>
        <v xml:space="preserve">  </v>
      </c>
      <c r="J154" s="149"/>
      <c r="K154" s="289" t="str">
        <f>+IFERROR(VLOOKUP($J154,'11 FORMULAS'!$B$51:$C$53,2,0),"")</f>
        <v/>
      </c>
      <c r="L154" s="289" t="e">
        <f>+IF(J154="Preventivo","Probabilidad",IF(J154="Detectivo","Probabilidad",IF(#REF!="Correctivo","Impacto","")))</f>
        <v>#REF!</v>
      </c>
      <c r="M154" s="290"/>
      <c r="N154" s="289" t="str">
        <f>+IFERROR(VLOOKUP($M154,'11 FORMULAS'!$B$54:$C$55,2,0),"")</f>
        <v/>
      </c>
      <c r="O154" s="291"/>
      <c r="P154" s="291"/>
      <c r="Q154" s="291"/>
      <c r="R154" s="291"/>
      <c r="S154" s="289" t="str">
        <f t="shared" si="24"/>
        <v/>
      </c>
      <c r="T154" s="289" t="str">
        <f t="shared" si="33"/>
        <v/>
      </c>
      <c r="U154" s="289" t="str">
        <f t="shared" si="34"/>
        <v/>
      </c>
      <c r="V154" s="238"/>
    </row>
    <row r="155" spans="1:22" ht="40.5" customHeight="1" x14ac:dyDescent="0.25">
      <c r="A155" s="235"/>
      <c r="B155" s="180"/>
      <c r="C155" s="236"/>
      <c r="D155" s="237"/>
      <c r="E155" s="172">
        <v>4</v>
      </c>
      <c r="F155" s="292"/>
      <c r="G155" s="149"/>
      <c r="H155" s="149"/>
      <c r="I155" s="172" t="str">
        <f t="shared" si="28"/>
        <v xml:space="preserve">  </v>
      </c>
      <c r="J155" s="149"/>
      <c r="K155" s="289" t="str">
        <f>+IFERROR(VLOOKUP($J155,'11 FORMULAS'!$B$51:$C$53,2,0),"")</f>
        <v/>
      </c>
      <c r="L155" s="289" t="e">
        <f>+IF(J155="Preventivo","Probabilidad",IF(J155="Detectivo","Probabilidad",IF(#REF!="Correctivo","Impacto","")))</f>
        <v>#REF!</v>
      </c>
      <c r="M155" s="290"/>
      <c r="N155" s="289" t="str">
        <f>+IFERROR(VLOOKUP($M155,'11 FORMULAS'!$B$54:$C$55,2,0),"")</f>
        <v/>
      </c>
      <c r="O155" s="291"/>
      <c r="P155" s="291"/>
      <c r="Q155" s="291"/>
      <c r="R155" s="291"/>
      <c r="S155" s="289" t="str">
        <f t="shared" si="24"/>
        <v/>
      </c>
      <c r="T155" s="289" t="str">
        <f t="shared" si="33"/>
        <v/>
      </c>
      <c r="U155" s="289" t="str">
        <f t="shared" si="34"/>
        <v/>
      </c>
      <c r="V155" s="238"/>
    </row>
    <row r="156" spans="1:22" ht="40.5" customHeight="1" x14ac:dyDescent="0.25">
      <c r="A156" s="235"/>
      <c r="B156" s="180"/>
      <c r="C156" s="236"/>
      <c r="D156" s="237"/>
      <c r="E156" s="172">
        <v>5</v>
      </c>
      <c r="F156" s="292"/>
      <c r="G156" s="149"/>
      <c r="H156" s="149"/>
      <c r="I156" s="172" t="str">
        <f t="shared" si="28"/>
        <v xml:space="preserve">  </v>
      </c>
      <c r="J156" s="149"/>
      <c r="K156" s="289" t="str">
        <f>+IFERROR(VLOOKUP($J156,'11 FORMULAS'!$B$51:$C$53,2,0),"")</f>
        <v/>
      </c>
      <c r="L156" s="289" t="e">
        <f>+IF(J156="Preventivo","Probabilidad",IF(J156="Detectivo","Probabilidad",IF(#REF!="Correctivo","Impacto","")))</f>
        <v>#REF!</v>
      </c>
      <c r="M156" s="290"/>
      <c r="N156" s="289" t="str">
        <f>+IFERROR(VLOOKUP($M156,'11 FORMULAS'!$B$54:$C$55,2,0),"")</f>
        <v/>
      </c>
      <c r="O156" s="291"/>
      <c r="P156" s="291"/>
      <c r="Q156" s="291"/>
      <c r="R156" s="291"/>
      <c r="S156" s="289" t="str">
        <f t="shared" si="24"/>
        <v/>
      </c>
      <c r="T156" s="289" t="str">
        <f t="shared" si="33"/>
        <v/>
      </c>
      <c r="U156" s="289" t="str">
        <f t="shared" si="34"/>
        <v/>
      </c>
      <c r="V156" s="238"/>
    </row>
    <row r="157" spans="1:22" ht="40.5" customHeight="1" thickBot="1" x14ac:dyDescent="0.3">
      <c r="A157" s="240"/>
      <c r="B157" s="182"/>
      <c r="C157" s="241"/>
      <c r="D157" s="242"/>
      <c r="E157" s="131">
        <v>6</v>
      </c>
      <c r="F157" s="293"/>
      <c r="G157" s="294"/>
      <c r="H157" s="294"/>
      <c r="I157" s="172" t="str">
        <f t="shared" si="28"/>
        <v xml:space="preserve">  </v>
      </c>
      <c r="J157" s="149"/>
      <c r="K157" s="289" t="str">
        <f>+IFERROR(VLOOKUP($J157,'11 FORMULAS'!$B$51:$C$53,2,0),"")</f>
        <v/>
      </c>
      <c r="L157" s="289" t="e">
        <f>+IF(J157="Preventivo","Probabilidad",IF(J157="Detectivo","Probabilidad",IF(#REF!="Correctivo","Impacto","")))</f>
        <v>#REF!</v>
      </c>
      <c r="M157" s="290"/>
      <c r="N157" s="289" t="str">
        <f>+IFERROR(VLOOKUP($M157,'11 FORMULAS'!$B$54:$C$55,2,0),"")</f>
        <v/>
      </c>
      <c r="O157" s="291"/>
      <c r="P157" s="291"/>
      <c r="Q157" s="291"/>
      <c r="R157" s="291"/>
      <c r="S157" s="289" t="str">
        <f t="shared" si="24"/>
        <v/>
      </c>
      <c r="T157" s="289" t="str">
        <f t="shared" si="33"/>
        <v/>
      </c>
      <c r="U157" s="289" t="str">
        <f t="shared" si="34"/>
        <v/>
      </c>
      <c r="V157" s="244"/>
    </row>
    <row r="158" spans="1:22" ht="40.5" customHeight="1" x14ac:dyDescent="0.25">
      <c r="A158" s="228" t="str">
        <f>'2 CONTEXTO E IDENTIFICACIÓN'!A34</f>
        <v>R26</v>
      </c>
      <c r="B158" s="175" t="str">
        <f>+'2 CONTEXTO E IDENTIFICACIÓN'!J34</f>
        <v>Posibilidad de afectación económica y reputacional por una sanción de las autoridades competentes a causa de  la destinación indebida de los recursos asignados a una iniciativa de contrapartidas, durante su fase de ejecución</v>
      </c>
      <c r="C158" s="229">
        <f>+'3 PROBABIL E IMPACTO INHERENTE'!E34</f>
        <v>0.4</v>
      </c>
      <c r="D158" s="230">
        <f>+'3 PROBABIL E IMPACTO INHERENTE'!M34</f>
        <v>0.4</v>
      </c>
      <c r="E158" s="295">
        <v>1</v>
      </c>
      <c r="F158" s="286" t="str">
        <f>'5 VALORACIÓN CONTROL PROBAB.'!F158</f>
        <v xml:space="preserve"> El(la) profesional delegado(a) en la supervisión de los proyectos cofinanciados con recursos de contrapartida.  </v>
      </c>
      <c r="G158" s="286" t="str">
        <f>'5 VALORACIÓN CONTROL PROBAB.'!G158</f>
        <v xml:space="preserve">Verificar el cumplimiento adecuado de la ejecución del plan de inversión y generar las alertas en caso de evidenciar algún incumplimiento para prevenir la indebida destinación del recurso público. </v>
      </c>
      <c r="H158" s="286" t="str">
        <f>'5 VALORACIÓN CONTROL PROBAB.'!H158</f>
        <v>El(la) supervisor(a) designado(a) para el convenio informa al ordenar del gasto ante la presencia de un posible incumplimiento contractual y anexa los documentos soportes de las alertas y solicitudes de corrección al ejecutor</v>
      </c>
      <c r="I158" s="172" t="str">
        <f t="shared" ref="I158" si="35">+CONCATENATE(F158," ",G158," ",H158)</f>
        <v xml:space="preserve"> El(la) profesional delegado(a) en la supervisión de los proyectos cofinanciados con recursos de contrapartida.   Verificar el cumplimiento adecuado de la ejecución del plan de inversión y generar las alertas en caso de evidenciar algún incumplimiento para prevenir la indebida destinación del recurso público.  El(la) supervisor(a) designado(a) para el convenio informa al ordenar del gasto ante la presencia de un posible incumplimiento contractual y anexa los documentos soportes de las alertas y solicitudes de corrección al ejecutor</v>
      </c>
      <c r="J158" s="149"/>
      <c r="K158" s="289" t="str">
        <f>+IFERROR(VLOOKUP($J158,'11 FORMULAS'!$B$51:$C$53,2,0),"")</f>
        <v/>
      </c>
      <c r="L158" s="289" t="e">
        <f>+IF(J158="Preventivo","Probabilidad",IF(J158="Detectivo","Probabilidad",IF(#REF!="Correctivo","Impacto","")))</f>
        <v>#REF!</v>
      </c>
      <c r="M158" s="290"/>
      <c r="N158" s="289" t="str">
        <f>+IFERROR(VLOOKUP($M158,'11 FORMULAS'!$B$54:$C$55,2,0),"")</f>
        <v/>
      </c>
      <c r="O158" s="291"/>
      <c r="P158" s="291"/>
      <c r="Q158" s="291"/>
      <c r="R158" s="291"/>
      <c r="S158" s="289" t="str">
        <f t="shared" si="24"/>
        <v/>
      </c>
      <c r="T158" s="289" t="str">
        <f>+IFERROR(C158*S158,"")</f>
        <v/>
      </c>
      <c r="U158" s="289" t="str">
        <f>+IFERROR(C158-T158,"")</f>
        <v/>
      </c>
      <c r="V158" s="234">
        <f>+'3 PROBABIL E IMPACTO INHERENTE'!M34</f>
        <v>0.4</v>
      </c>
    </row>
    <row r="159" spans="1:22" ht="40.5" customHeight="1" x14ac:dyDescent="0.25">
      <c r="A159" s="252"/>
      <c r="B159" s="188"/>
      <c r="C159" s="253"/>
      <c r="D159" s="254"/>
      <c r="E159" s="172">
        <v>2</v>
      </c>
      <c r="F159" s="298"/>
      <c r="G159" s="299"/>
      <c r="H159" s="299"/>
      <c r="I159" s="172" t="str">
        <f t="shared" si="28"/>
        <v xml:space="preserve">  </v>
      </c>
      <c r="J159" s="149"/>
      <c r="K159" s="289" t="str">
        <f>+IFERROR(VLOOKUP($J159,'11 FORMULAS'!$B$51:$C$53,2,0),"")</f>
        <v/>
      </c>
      <c r="L159" s="289" t="e">
        <f>+IF(J159="Preventivo","Probabilidad",IF(J159="Detectivo","Probabilidad",IF(#REF!="Correctivo","Impacto","")))</f>
        <v>#REF!</v>
      </c>
      <c r="M159" s="290"/>
      <c r="N159" s="289" t="str">
        <f>+IFERROR(VLOOKUP($M159,'11 FORMULAS'!$B$54:$C$55,2,0),"")</f>
        <v/>
      </c>
      <c r="O159" s="291"/>
      <c r="P159" s="291"/>
      <c r="Q159" s="291"/>
      <c r="R159" s="291"/>
      <c r="S159" s="289" t="str">
        <f t="shared" si="24"/>
        <v/>
      </c>
      <c r="T159" s="289" t="str">
        <f t="shared" ref="T159:T163" si="36">+IFERROR(C159*S159,"")</f>
        <v/>
      </c>
      <c r="U159" s="289" t="str">
        <f t="shared" ref="U159:U163" si="37">+IFERROR(S159-T159,"")</f>
        <v/>
      </c>
      <c r="V159" s="238"/>
    </row>
    <row r="160" spans="1:22" ht="40.5" customHeight="1" x14ac:dyDescent="0.25">
      <c r="A160" s="252"/>
      <c r="B160" s="188"/>
      <c r="C160" s="253"/>
      <c r="D160" s="254"/>
      <c r="E160" s="172">
        <v>3</v>
      </c>
      <c r="F160" s="298"/>
      <c r="G160" s="299"/>
      <c r="H160" s="299"/>
      <c r="I160" s="172" t="str">
        <f t="shared" si="28"/>
        <v xml:space="preserve">  </v>
      </c>
      <c r="J160" s="149"/>
      <c r="K160" s="289" t="str">
        <f>+IFERROR(VLOOKUP($J160,'11 FORMULAS'!$B$51:$C$53,2,0),"")</f>
        <v/>
      </c>
      <c r="L160" s="289" t="e">
        <f>+IF(J160="Preventivo","Probabilidad",IF(J160="Detectivo","Probabilidad",IF(#REF!="Correctivo","Impacto","")))</f>
        <v>#REF!</v>
      </c>
      <c r="M160" s="290"/>
      <c r="N160" s="289" t="str">
        <f>+IFERROR(VLOOKUP($M160,'11 FORMULAS'!$B$54:$C$55,2,0),"")</f>
        <v/>
      </c>
      <c r="O160" s="291"/>
      <c r="P160" s="291"/>
      <c r="Q160" s="291"/>
      <c r="R160" s="291"/>
      <c r="S160" s="289" t="str">
        <f t="shared" si="24"/>
        <v/>
      </c>
      <c r="T160" s="289" t="str">
        <f t="shared" si="36"/>
        <v/>
      </c>
      <c r="U160" s="289" t="str">
        <f t="shared" si="37"/>
        <v/>
      </c>
      <c r="V160" s="238"/>
    </row>
    <row r="161" spans="1:22" ht="40.5" customHeight="1" x14ac:dyDescent="0.25">
      <c r="A161" s="235"/>
      <c r="B161" s="180"/>
      <c r="C161" s="236"/>
      <c r="D161" s="237"/>
      <c r="E161" s="172">
        <v>4</v>
      </c>
      <c r="F161" s="292"/>
      <c r="G161" s="149"/>
      <c r="H161" s="149"/>
      <c r="I161" s="172" t="str">
        <f t="shared" si="28"/>
        <v xml:space="preserve">  </v>
      </c>
      <c r="J161" s="149"/>
      <c r="K161" s="289" t="str">
        <f>+IFERROR(VLOOKUP($J161,'11 FORMULAS'!$B$51:$C$53,2,0),"")</f>
        <v/>
      </c>
      <c r="L161" s="289" t="e">
        <f>+IF(J161="Preventivo","Probabilidad",IF(J161="Detectivo","Probabilidad",IF(#REF!="Correctivo","Impacto","")))</f>
        <v>#REF!</v>
      </c>
      <c r="M161" s="290"/>
      <c r="N161" s="289" t="str">
        <f>+IFERROR(VLOOKUP($M161,'11 FORMULAS'!$B$54:$C$55,2,0),"")</f>
        <v/>
      </c>
      <c r="O161" s="291"/>
      <c r="P161" s="291"/>
      <c r="Q161" s="291"/>
      <c r="R161" s="291"/>
      <c r="S161" s="289" t="str">
        <f t="shared" si="24"/>
        <v/>
      </c>
      <c r="T161" s="289" t="str">
        <f t="shared" si="36"/>
        <v/>
      </c>
      <c r="U161" s="289" t="str">
        <f t="shared" si="37"/>
        <v/>
      </c>
      <c r="V161" s="238"/>
    </row>
    <row r="162" spans="1:22" ht="40.5" customHeight="1" x14ac:dyDescent="0.25">
      <c r="A162" s="235"/>
      <c r="B162" s="180"/>
      <c r="C162" s="236"/>
      <c r="D162" s="237"/>
      <c r="E162" s="172">
        <v>5</v>
      </c>
      <c r="F162" s="292"/>
      <c r="G162" s="149"/>
      <c r="H162" s="149"/>
      <c r="I162" s="172" t="str">
        <f t="shared" si="28"/>
        <v xml:space="preserve">  </v>
      </c>
      <c r="J162" s="149"/>
      <c r="K162" s="289" t="str">
        <f>+IFERROR(VLOOKUP($J162,'11 FORMULAS'!$B$51:$C$53,2,0),"")</f>
        <v/>
      </c>
      <c r="L162" s="289" t="e">
        <f>+IF(J162="Preventivo","Probabilidad",IF(J162="Detectivo","Probabilidad",IF(#REF!="Correctivo","Impacto","")))</f>
        <v>#REF!</v>
      </c>
      <c r="M162" s="290"/>
      <c r="N162" s="289" t="str">
        <f>+IFERROR(VLOOKUP($M162,'11 FORMULAS'!$B$54:$C$55,2,0),"")</f>
        <v/>
      </c>
      <c r="O162" s="291"/>
      <c r="P162" s="291"/>
      <c r="Q162" s="291"/>
      <c r="R162" s="291"/>
      <c r="S162" s="289" t="str">
        <f t="shared" si="24"/>
        <v/>
      </c>
      <c r="T162" s="289" t="str">
        <f t="shared" si="36"/>
        <v/>
      </c>
      <c r="U162" s="289" t="str">
        <f t="shared" si="37"/>
        <v/>
      </c>
      <c r="V162" s="238"/>
    </row>
    <row r="163" spans="1:22" ht="40.5" customHeight="1" thickBot="1" x14ac:dyDescent="0.3">
      <c r="A163" s="240"/>
      <c r="B163" s="182"/>
      <c r="C163" s="241"/>
      <c r="D163" s="242"/>
      <c r="E163" s="131">
        <v>6</v>
      </c>
      <c r="F163" s="293"/>
      <c r="G163" s="294"/>
      <c r="H163" s="294"/>
      <c r="I163" s="172" t="str">
        <f t="shared" si="28"/>
        <v xml:space="preserve">  </v>
      </c>
      <c r="J163" s="149"/>
      <c r="K163" s="289" t="str">
        <f>+IFERROR(VLOOKUP($J163,'11 FORMULAS'!$B$51:$C$53,2,0),"")</f>
        <v/>
      </c>
      <c r="L163" s="289" t="e">
        <f>+IF(J163="Preventivo","Probabilidad",IF(J163="Detectivo","Probabilidad",IF(#REF!="Correctivo","Impacto","")))</f>
        <v>#REF!</v>
      </c>
      <c r="M163" s="290"/>
      <c r="N163" s="289" t="str">
        <f>+IFERROR(VLOOKUP($M163,'11 FORMULAS'!$B$54:$C$55,2,0),"")</f>
        <v/>
      </c>
      <c r="O163" s="291"/>
      <c r="P163" s="291"/>
      <c r="Q163" s="291"/>
      <c r="R163" s="291"/>
      <c r="S163" s="289" t="str">
        <f t="shared" si="24"/>
        <v/>
      </c>
      <c r="T163" s="289" t="str">
        <f t="shared" si="36"/>
        <v/>
      </c>
      <c r="U163" s="289" t="str">
        <f t="shared" si="37"/>
        <v/>
      </c>
      <c r="V163" s="244"/>
    </row>
    <row r="164" spans="1:22" ht="40.5" customHeight="1" thickBot="1" x14ac:dyDescent="0.3">
      <c r="A164" s="228" t="str">
        <f>'2 CONTEXTO E IDENTIFICACIÓN'!A35</f>
        <v>R27</v>
      </c>
      <c r="B164" s="175" t="str">
        <f>+'2 CONTEXTO E IDENTIFICACIÓN'!J35</f>
        <v>Posibilidad de afectación económica y reputacional porPérdida, desvió y/o destinación indebida de los recursos asignados a la caja menor a causa de  incumplimiento de los lineamientos establecidos por la Agencia para la administración de la caja menor</v>
      </c>
      <c r="C164" s="229">
        <f>+'3 PROBABIL E IMPACTO INHERENTE'!E35</f>
        <v>0.6</v>
      </c>
      <c r="D164" s="230">
        <f>+'3 PROBABIL E IMPACTO INHERENTE'!M35</f>
        <v>0.6</v>
      </c>
      <c r="E164" s="295">
        <v>1</v>
      </c>
      <c r="F164" s="286" t="str">
        <f>'5 VALORACIÓN CONTROL PROBAB.'!F164</f>
        <v>El cuentadante de la caja menor.</v>
      </c>
      <c r="G164" s="286" t="str">
        <f>'5 VALORACIÓN CONTROL PROBAB.'!G164</f>
        <v>Aplicar los lineamientos establecidos por la Agencia para la administración de la caja menor.</v>
      </c>
      <c r="H164" s="286" t="str">
        <f>'5 VALORACIÓN CONTROL PROBAB.'!H164</f>
        <v>Reportar al respectivo superior jerárquico de la Agencia, el estado de la administración  de la caja menor.</v>
      </c>
      <c r="I164" s="172" t="str">
        <f t="shared" si="28"/>
        <v>El cuentadante de la caja menor. Aplicar los lineamientos establecidos por la Agencia para la administración de la caja menor. Reportar al respectivo superior jerárquico de la Agencia, el estado de la administración  de la caja menor.</v>
      </c>
      <c r="J164" s="149"/>
      <c r="K164" s="289" t="str">
        <f>+IFERROR(VLOOKUP($J164,'11 FORMULAS'!$B$51:$C$53,2,0),"")</f>
        <v/>
      </c>
      <c r="L164" s="289" t="e">
        <f>+IF(J164="Preventivo","Probabilidad",IF(J164="Detectivo","Probabilidad",IF(#REF!="Correctivo","Impacto","")))</f>
        <v>#REF!</v>
      </c>
      <c r="M164" s="290"/>
      <c r="N164" s="289" t="str">
        <f>+IFERROR(VLOOKUP($M164,'11 FORMULAS'!$B$54:$C$55,2,0),"")</f>
        <v/>
      </c>
      <c r="O164" s="291"/>
      <c r="P164" s="291"/>
      <c r="Q164" s="291"/>
      <c r="R164" s="291"/>
      <c r="S164" s="289" t="str">
        <f t="shared" si="24"/>
        <v/>
      </c>
      <c r="T164" s="289" t="str">
        <f>+IFERROR(C164*S164,"")</f>
        <v/>
      </c>
      <c r="U164" s="289" t="str">
        <f>+IFERROR(C164-T164,"")</f>
        <v/>
      </c>
      <c r="V164" s="234">
        <f>+'3 PROBABIL E IMPACTO INHERENTE'!M35</f>
        <v>0.6</v>
      </c>
    </row>
    <row r="165" spans="1:22" ht="40.5" customHeight="1" x14ac:dyDescent="0.25">
      <c r="A165" s="252"/>
      <c r="B165" s="188"/>
      <c r="C165" s="253"/>
      <c r="D165" s="254"/>
      <c r="E165" s="172">
        <v>2</v>
      </c>
      <c r="F165" s="286"/>
      <c r="G165" s="286"/>
      <c r="H165" s="286"/>
      <c r="I165" s="172"/>
      <c r="J165" s="149"/>
      <c r="K165" s="289" t="str">
        <f>+IFERROR(VLOOKUP($J165,'11 FORMULAS'!$B$51:$C$53,2,0),"")</f>
        <v/>
      </c>
      <c r="L165" s="289" t="e">
        <f>+IF(J165="Preventivo","Probabilidad",IF(J165="Detectivo","Probabilidad",IF(#REF!="Correctivo","Impacto","")))</f>
        <v>#REF!</v>
      </c>
      <c r="M165" s="290"/>
      <c r="N165" s="289" t="str">
        <f>+IFERROR(VLOOKUP($M165,'11 FORMULAS'!$B$54:$C$55,2,0),"")</f>
        <v/>
      </c>
      <c r="O165" s="291"/>
      <c r="P165" s="291"/>
      <c r="Q165" s="291"/>
      <c r="R165" s="291"/>
      <c r="S165" s="289" t="str">
        <f t="shared" si="24"/>
        <v/>
      </c>
      <c r="T165" s="289" t="str">
        <f t="shared" ref="T165:T169" si="38">+IFERROR(C165*S165,"")</f>
        <v/>
      </c>
      <c r="U165" s="289" t="str">
        <f t="shared" ref="U165:U169" si="39">+IFERROR(S165-T165,"")</f>
        <v/>
      </c>
      <c r="V165" s="238"/>
    </row>
    <row r="166" spans="1:22" ht="40.5" customHeight="1" x14ac:dyDescent="0.25">
      <c r="A166" s="252"/>
      <c r="B166" s="188"/>
      <c r="C166" s="253"/>
      <c r="D166" s="254"/>
      <c r="E166" s="172">
        <v>3</v>
      </c>
      <c r="F166" s="298"/>
      <c r="G166" s="299"/>
      <c r="H166" s="299"/>
      <c r="I166" s="172" t="str">
        <f t="shared" si="28"/>
        <v xml:space="preserve">  </v>
      </c>
      <c r="J166" s="149"/>
      <c r="K166" s="289" t="str">
        <f>+IFERROR(VLOOKUP($J166,'11 FORMULAS'!$B$51:$C$53,2,0),"")</f>
        <v/>
      </c>
      <c r="L166" s="289" t="e">
        <f>+IF(J166="Preventivo","Probabilidad",IF(J166="Detectivo","Probabilidad",IF(#REF!="Correctivo","Impacto","")))</f>
        <v>#REF!</v>
      </c>
      <c r="M166" s="290"/>
      <c r="N166" s="289" t="str">
        <f>+IFERROR(VLOOKUP($M166,'11 FORMULAS'!$B$54:$C$55,2,0),"")</f>
        <v/>
      </c>
      <c r="O166" s="291"/>
      <c r="P166" s="291"/>
      <c r="Q166" s="291"/>
      <c r="R166" s="291"/>
      <c r="S166" s="289" t="str">
        <f t="shared" si="24"/>
        <v/>
      </c>
      <c r="T166" s="289" t="str">
        <f t="shared" si="38"/>
        <v/>
      </c>
      <c r="U166" s="289" t="str">
        <f t="shared" si="39"/>
        <v/>
      </c>
      <c r="V166" s="238"/>
    </row>
    <row r="167" spans="1:22" ht="40.5" customHeight="1" x14ac:dyDescent="0.25">
      <c r="A167" s="235"/>
      <c r="B167" s="180"/>
      <c r="C167" s="236"/>
      <c r="D167" s="237"/>
      <c r="E167" s="172">
        <v>4</v>
      </c>
      <c r="F167" s="292"/>
      <c r="G167" s="149"/>
      <c r="H167" s="149"/>
      <c r="I167" s="172" t="str">
        <f t="shared" si="28"/>
        <v xml:space="preserve">  </v>
      </c>
      <c r="J167" s="149"/>
      <c r="K167" s="289" t="str">
        <f>+IFERROR(VLOOKUP($J167,'11 FORMULAS'!$B$51:$C$53,2,0),"")</f>
        <v/>
      </c>
      <c r="L167" s="289" t="e">
        <f>+IF(J167="Preventivo","Probabilidad",IF(J167="Detectivo","Probabilidad",IF(#REF!="Correctivo","Impacto","")))</f>
        <v>#REF!</v>
      </c>
      <c r="M167" s="290"/>
      <c r="N167" s="289" t="str">
        <f>+IFERROR(VLOOKUP($M167,'11 FORMULAS'!$B$54:$C$55,2,0),"")</f>
        <v/>
      </c>
      <c r="O167" s="291"/>
      <c r="P167" s="291"/>
      <c r="Q167" s="291"/>
      <c r="R167" s="291"/>
      <c r="S167" s="289" t="str">
        <f t="shared" si="24"/>
        <v/>
      </c>
      <c r="T167" s="289" t="str">
        <f t="shared" si="38"/>
        <v/>
      </c>
      <c r="U167" s="289" t="str">
        <f t="shared" si="39"/>
        <v/>
      </c>
      <c r="V167" s="238"/>
    </row>
    <row r="168" spans="1:22" ht="40.5" customHeight="1" x14ac:dyDescent="0.25">
      <c r="A168" s="235"/>
      <c r="B168" s="180"/>
      <c r="C168" s="236"/>
      <c r="D168" s="237"/>
      <c r="E168" s="172">
        <v>5</v>
      </c>
      <c r="F168" s="292"/>
      <c r="G168" s="149"/>
      <c r="H168" s="149"/>
      <c r="I168" s="172" t="str">
        <f t="shared" si="28"/>
        <v xml:space="preserve">  </v>
      </c>
      <c r="J168" s="149"/>
      <c r="K168" s="289" t="str">
        <f>+IFERROR(VLOOKUP($J168,'11 FORMULAS'!$B$51:$C$53,2,0),"")</f>
        <v/>
      </c>
      <c r="L168" s="289" t="e">
        <f>+IF(J168="Preventivo","Probabilidad",IF(J168="Detectivo","Probabilidad",IF(#REF!="Correctivo","Impacto","")))</f>
        <v>#REF!</v>
      </c>
      <c r="M168" s="290"/>
      <c r="N168" s="289" t="str">
        <f>+IFERROR(VLOOKUP($M168,'11 FORMULAS'!$B$54:$C$55,2,0),"")</f>
        <v/>
      </c>
      <c r="O168" s="291"/>
      <c r="P168" s="291"/>
      <c r="Q168" s="291"/>
      <c r="R168" s="291"/>
      <c r="S168" s="289" t="str">
        <f t="shared" si="24"/>
        <v/>
      </c>
      <c r="T168" s="289" t="str">
        <f t="shared" si="38"/>
        <v/>
      </c>
      <c r="U168" s="289" t="str">
        <f t="shared" si="39"/>
        <v/>
      </c>
      <c r="V168" s="238"/>
    </row>
    <row r="169" spans="1:22" ht="40.5" customHeight="1" thickBot="1" x14ac:dyDescent="0.3">
      <c r="A169" s="240"/>
      <c r="B169" s="182"/>
      <c r="C169" s="241"/>
      <c r="D169" s="242"/>
      <c r="E169" s="131">
        <v>6</v>
      </c>
      <c r="F169" s="293"/>
      <c r="G169" s="294"/>
      <c r="H169" s="294"/>
      <c r="I169" s="172" t="str">
        <f t="shared" si="28"/>
        <v xml:space="preserve">  </v>
      </c>
      <c r="J169" s="149"/>
      <c r="K169" s="289" t="str">
        <f>+IFERROR(VLOOKUP($J169,'11 FORMULAS'!$B$51:$C$53,2,0),"")</f>
        <v/>
      </c>
      <c r="L169" s="289" t="e">
        <f>+IF(J169="Preventivo","Probabilidad",IF(J169="Detectivo","Probabilidad",IF(#REF!="Correctivo","Impacto","")))</f>
        <v>#REF!</v>
      </c>
      <c r="M169" s="290"/>
      <c r="N169" s="289" t="str">
        <f>+IFERROR(VLOOKUP($M169,'11 FORMULAS'!$B$54:$C$55,2,0),"")</f>
        <v/>
      </c>
      <c r="O169" s="291"/>
      <c r="P169" s="291"/>
      <c r="Q169" s="291"/>
      <c r="R169" s="291"/>
      <c r="S169" s="289" t="str">
        <f t="shared" si="24"/>
        <v/>
      </c>
      <c r="T169" s="289" t="str">
        <f t="shared" si="38"/>
        <v/>
      </c>
      <c r="U169" s="289" t="str">
        <f t="shared" si="39"/>
        <v/>
      </c>
      <c r="V169" s="244"/>
    </row>
    <row r="170" spans="1:22" ht="40.5" customHeight="1" thickBot="1" x14ac:dyDescent="0.3">
      <c r="A170" s="228" t="str">
        <f>'2 CONTEXTO E IDENTIFICACIÓN'!A36</f>
        <v>R28</v>
      </c>
      <c r="B170" s="175" t="str">
        <f>+'2 CONTEXTO E IDENTIFICACIÓN'!J36</f>
        <v>Posibilidad de afectación económica y reputacional por revocatoria de nombramiento y sanciones disciplinarias  a causa de incumplimiento en la verificación y  certificación de requisitos exigidos para el desempeño del empleo público</v>
      </c>
      <c r="C170" s="229">
        <f>+'3 PROBABIL E IMPACTO INHERENTE'!E36</f>
        <v>0.6</v>
      </c>
      <c r="D170" s="230">
        <f>+'3 PROBABIL E IMPACTO INHERENTE'!M36</f>
        <v>0.6</v>
      </c>
      <c r="E170" s="295">
        <v>1</v>
      </c>
      <c r="F170" s="286" t="str">
        <f>'5 VALORACIÓN CONTROL PROBAB.'!F170</f>
        <v xml:space="preserve">El(la) coordinador(a) del grupo interno de trabajo de gestión de talento humano. </v>
      </c>
      <c r="G170" s="286" t="str">
        <f>'5 VALORACIÓN CONTROL PROBAB.'!G170</f>
        <v>Expedir certificación de cumplimiento de requisitos y verificar los antecedentes disciplinarios, policiales y fiscales, antes del nombramiento del aspirante en el cargo público.</v>
      </c>
      <c r="H170" s="286" t="str">
        <f>'5 VALORACIÓN CONTROL PROBAB.'!H170</f>
        <v>En caso que el aspirante no cumpla con los requisitos o lo inhabiliten, se informa al Director(a) administrativo(a) y financiero(a) para continuar con el proceso de provisión del cargo con otros aspirantes.</v>
      </c>
      <c r="I170" s="172" t="str">
        <f t="shared" ref="I170" si="40">+CONCATENATE(F170," ",G170," ",H170)</f>
        <v>El(la) coordinador(a) del grupo interno de trabajo de gestión de talento humano.  Expedir certificación de cumplimiento de requisitos y verificar los antecedentes disciplinarios, policiales y fiscales, antes del nombramiento del aspirante en el cargo público. En caso que el aspirante no cumpla con los requisitos o lo inhabiliten, se informa al Director(a) administrativo(a) y financiero(a) para continuar con el proceso de provisión del cargo con otros aspirantes.</v>
      </c>
      <c r="J170" s="149"/>
      <c r="K170" s="289" t="str">
        <f>+IFERROR(VLOOKUP($J170,'11 FORMULAS'!$B$51:$C$53,2,0),"")</f>
        <v/>
      </c>
      <c r="L170" s="289" t="e">
        <f>+IF(J170="Preventivo","Probabilidad",IF(J170="Detectivo","Probabilidad",IF(#REF!="Correctivo","Impacto","")))</f>
        <v>#REF!</v>
      </c>
      <c r="M170" s="290"/>
      <c r="N170" s="289" t="str">
        <f>+IFERROR(VLOOKUP($M170,'11 FORMULAS'!$B$54:$C$55,2,0),"")</f>
        <v/>
      </c>
      <c r="O170" s="291"/>
      <c r="P170" s="291"/>
      <c r="Q170" s="291"/>
      <c r="R170" s="291"/>
      <c r="S170" s="289" t="str">
        <f t="shared" si="24"/>
        <v/>
      </c>
      <c r="T170" s="289" t="str">
        <f>+IFERROR(C170*S170,"")</f>
        <v/>
      </c>
      <c r="U170" s="289" t="str">
        <f>+IFERROR(C170-T170,"")</f>
        <v/>
      </c>
      <c r="V170" s="234">
        <f>+'3 PROBABIL E IMPACTO INHERENTE'!M36</f>
        <v>0.6</v>
      </c>
    </row>
    <row r="171" spans="1:22" ht="40.5" customHeight="1" thickBot="1" x14ac:dyDescent="0.3">
      <c r="A171" s="252"/>
      <c r="B171" s="188"/>
      <c r="C171" s="253"/>
      <c r="D171" s="254"/>
      <c r="E171" s="172">
        <v>2</v>
      </c>
      <c r="F171" s="286"/>
      <c r="G171" s="286"/>
      <c r="H171" s="286"/>
      <c r="I171" s="172"/>
      <c r="J171" s="149"/>
      <c r="K171" s="289" t="str">
        <f>+IFERROR(VLOOKUP($J171,'11 FORMULAS'!$B$51:$C$53,2,0),"")</f>
        <v/>
      </c>
      <c r="L171" s="289" t="e">
        <f>+IF(J171="Preventivo","Probabilidad",IF(J171="Detectivo","Probabilidad",IF(#REF!="Correctivo","Impacto","")))</f>
        <v>#REF!</v>
      </c>
      <c r="M171" s="290"/>
      <c r="N171" s="289" t="str">
        <f>+IFERROR(VLOOKUP($M171,'11 FORMULAS'!$B$54:$C$55,2,0),"")</f>
        <v/>
      </c>
      <c r="O171" s="291"/>
      <c r="P171" s="291"/>
      <c r="Q171" s="291"/>
      <c r="R171" s="291"/>
      <c r="S171" s="289" t="str">
        <f t="shared" si="24"/>
        <v/>
      </c>
      <c r="T171" s="289" t="str">
        <f t="shared" ref="T171:T175" si="41">+IFERROR(C171*S171,"")</f>
        <v/>
      </c>
      <c r="U171" s="289" t="str">
        <f t="shared" ref="U171:U175" si="42">+IFERROR(S171-T171,"")</f>
        <v/>
      </c>
      <c r="V171" s="238"/>
    </row>
    <row r="172" spans="1:22" ht="40.5" customHeight="1" thickBot="1" x14ac:dyDescent="0.3">
      <c r="A172" s="252"/>
      <c r="B172" s="188"/>
      <c r="C172" s="253"/>
      <c r="D172" s="254"/>
      <c r="E172" s="172">
        <v>3</v>
      </c>
      <c r="F172" s="286"/>
      <c r="G172" s="286"/>
      <c r="H172" s="286"/>
      <c r="I172" s="172"/>
      <c r="J172" s="149"/>
      <c r="K172" s="289" t="str">
        <f>+IFERROR(VLOOKUP($J172,'11 FORMULAS'!$B$51:$C$53,2,0),"")</f>
        <v/>
      </c>
      <c r="L172" s="289" t="e">
        <f>+IF(J172="Preventivo","Probabilidad",IF(J172="Detectivo","Probabilidad",IF(#REF!="Correctivo","Impacto","")))</f>
        <v>#REF!</v>
      </c>
      <c r="M172" s="290"/>
      <c r="N172" s="289" t="str">
        <f>+IFERROR(VLOOKUP($M172,'11 FORMULAS'!$B$54:$C$55,2,0),"")</f>
        <v/>
      </c>
      <c r="O172" s="291"/>
      <c r="P172" s="291"/>
      <c r="Q172" s="291"/>
      <c r="R172" s="291"/>
      <c r="S172" s="289" t="str">
        <f t="shared" si="24"/>
        <v/>
      </c>
      <c r="T172" s="289" t="str">
        <f t="shared" si="41"/>
        <v/>
      </c>
      <c r="U172" s="289" t="str">
        <f t="shared" si="42"/>
        <v/>
      </c>
      <c r="V172" s="238"/>
    </row>
    <row r="173" spans="1:22" ht="40.5" customHeight="1" x14ac:dyDescent="0.25">
      <c r="A173" s="235"/>
      <c r="B173" s="180"/>
      <c r="C173" s="236"/>
      <c r="D173" s="237"/>
      <c r="E173" s="172">
        <v>4</v>
      </c>
      <c r="F173" s="286"/>
      <c r="G173" s="286"/>
      <c r="H173" s="286"/>
      <c r="I173" s="172"/>
      <c r="J173" s="149"/>
      <c r="K173" s="289" t="str">
        <f>+IFERROR(VLOOKUP($J173,'11 FORMULAS'!$B$51:$C$53,2,0),"")</f>
        <v/>
      </c>
      <c r="L173" s="289" t="e">
        <f>+IF(J173="Preventivo","Probabilidad",IF(J173="Detectivo","Probabilidad",IF(#REF!="Correctivo","Impacto","")))</f>
        <v>#REF!</v>
      </c>
      <c r="M173" s="290"/>
      <c r="N173" s="289" t="str">
        <f>+IFERROR(VLOOKUP($M173,'11 FORMULAS'!$B$54:$C$55,2,0),"")</f>
        <v/>
      </c>
      <c r="O173" s="291"/>
      <c r="P173" s="291"/>
      <c r="Q173" s="291"/>
      <c r="R173" s="291"/>
      <c r="S173" s="289" t="str">
        <f t="shared" si="24"/>
        <v/>
      </c>
      <c r="T173" s="289" t="str">
        <f t="shared" si="41"/>
        <v/>
      </c>
      <c r="U173" s="289" t="str">
        <f t="shared" si="42"/>
        <v/>
      </c>
      <c r="V173" s="238"/>
    </row>
    <row r="174" spans="1:22" ht="40.5" customHeight="1" x14ac:dyDescent="0.25">
      <c r="A174" s="235"/>
      <c r="B174" s="180"/>
      <c r="C174" s="236"/>
      <c r="D174" s="237"/>
      <c r="E174" s="172">
        <v>5</v>
      </c>
      <c r="F174" s="292"/>
      <c r="G174" s="149"/>
      <c r="H174" s="149"/>
      <c r="I174" s="172" t="str">
        <f t="shared" si="28"/>
        <v xml:space="preserve">  </v>
      </c>
      <c r="J174" s="149"/>
      <c r="K174" s="289" t="str">
        <f>+IFERROR(VLOOKUP($J174,'11 FORMULAS'!$B$51:$C$53,2,0),"")</f>
        <v/>
      </c>
      <c r="L174" s="289" t="e">
        <f>+IF(J174="Preventivo","Probabilidad",IF(J174="Detectivo","Probabilidad",IF(#REF!="Correctivo","Impacto","")))</f>
        <v>#REF!</v>
      </c>
      <c r="M174" s="290"/>
      <c r="N174" s="289" t="str">
        <f>+IFERROR(VLOOKUP($M174,'11 FORMULAS'!$B$54:$C$55,2,0),"")</f>
        <v/>
      </c>
      <c r="O174" s="291"/>
      <c r="P174" s="291"/>
      <c r="Q174" s="291"/>
      <c r="R174" s="291"/>
      <c r="S174" s="289" t="str">
        <f t="shared" si="24"/>
        <v/>
      </c>
      <c r="T174" s="289" t="str">
        <f t="shared" si="41"/>
        <v/>
      </c>
      <c r="U174" s="289" t="str">
        <f t="shared" si="42"/>
        <v/>
      </c>
      <c r="V174" s="238"/>
    </row>
    <row r="175" spans="1:22" ht="40.5" customHeight="1" thickBot="1" x14ac:dyDescent="0.3">
      <c r="A175" s="240"/>
      <c r="B175" s="182"/>
      <c r="C175" s="241"/>
      <c r="D175" s="242"/>
      <c r="E175" s="131">
        <v>6</v>
      </c>
      <c r="F175" s="293"/>
      <c r="G175" s="294"/>
      <c r="H175" s="294"/>
      <c r="I175" s="172" t="str">
        <f t="shared" si="28"/>
        <v xml:space="preserve">  </v>
      </c>
      <c r="J175" s="149"/>
      <c r="K175" s="289" t="str">
        <f>+IFERROR(VLOOKUP($J175,'11 FORMULAS'!$B$51:$C$53,2,0),"")</f>
        <v/>
      </c>
      <c r="L175" s="289" t="e">
        <f>+IF(J175="Preventivo","Probabilidad",IF(J175="Detectivo","Probabilidad",IF(#REF!="Correctivo","Impacto","")))</f>
        <v>#REF!</v>
      </c>
      <c r="M175" s="290"/>
      <c r="N175" s="289" t="str">
        <f>+IFERROR(VLOOKUP($M175,'11 FORMULAS'!$B$54:$C$55,2,0),"")</f>
        <v/>
      </c>
      <c r="O175" s="291"/>
      <c r="P175" s="291"/>
      <c r="Q175" s="291"/>
      <c r="R175" s="291"/>
      <c r="S175" s="289" t="str">
        <f t="shared" si="24"/>
        <v/>
      </c>
      <c r="T175" s="289" t="str">
        <f t="shared" si="41"/>
        <v/>
      </c>
      <c r="U175" s="289" t="str">
        <f t="shared" si="42"/>
        <v/>
      </c>
      <c r="V175" s="244"/>
    </row>
    <row r="176" spans="1:22" ht="40.5" customHeight="1" thickBot="1" x14ac:dyDescent="0.3">
      <c r="A176" s="228" t="str">
        <f>'2 CONTEXTO E IDENTIFICACIÓN'!A37</f>
        <v>R29</v>
      </c>
      <c r="B176" s="175" t="str">
        <f>+'2 CONTEXTO E IDENTIFICACIÓN'!J37</f>
        <v>Posibilidad de afectación económica y reputacional por la reclamación  del donante a causa de ausencia en el seguimiento frente a la entrega final de la donación realizada por el donante</v>
      </c>
      <c r="C176" s="229">
        <f>+'3 PROBABIL E IMPACTO INHERENTE'!E37</f>
        <v>0.4</v>
      </c>
      <c r="D176" s="230">
        <f>+'3 PROBABIL E IMPACTO INHERENTE'!M37</f>
        <v>0.4</v>
      </c>
      <c r="E176" s="295">
        <v>1</v>
      </c>
      <c r="F176" s="286" t="str">
        <f>'5 VALORACIÓN CONTROL PROBAB.'!F176</f>
        <v xml:space="preserve"> El(la) profesional asignado(a) a desarrollar las actividades necesarias para la canalización de donaciones en especie. </v>
      </c>
      <c r="G176" s="286" t="str">
        <f>'5 VALORACIÓN CONTROL PROBAB.'!G176</f>
        <v>Verificar los documentos entregados por el donante (carta de ofrecimiento de la donación, certificado de la donación y carta de exoneración de responsabilidades) antes y durante el proceso, donde se indentifica la entidad  beneficiaria de la donación y realizar la validación de los antecedentes y reconocimiento de bienes lícitos e ilícitos.</v>
      </c>
      <c r="H176" s="286" t="str">
        <f>'5 VALORACIÓN CONTROL PROBAB.'!H176</f>
        <v xml:space="preserve"> Se analizan  las novedades presentadas en el ejercicio de la supervisón para tomar las medidas respectivas, escalando a la instancia correspondiente y evitar la indebida supervisión de los contratos o convenios suscritos</v>
      </c>
      <c r="I176" s="172" t="str">
        <f t="shared" si="28"/>
        <v xml:space="preserve"> El(la) profesional asignado(a) a desarrollar las actividades necesarias para la canalización de donaciones en especie.  Verificar los documentos entregados por el donante (carta de ofrecimiento de la donación, certificado de la donación y carta de exoneración de responsabilidades) antes y durante el proceso, donde se indentifica la entidad  beneficiaria de la donación y realizar la validación de los antecedentes y reconocimiento de bienes lícitos e ilícitos.  Se analizan  las novedades presentadas en el ejercicio de la supervisón para tomar las medidas respectivas, escalando a la instancia correspondiente y evitar la indebida supervisión de los contratos o convenios suscritos</v>
      </c>
      <c r="J176" s="149"/>
      <c r="K176" s="289" t="str">
        <f>+IFERROR(VLOOKUP($J176,'11 FORMULAS'!$B$51:$C$53,2,0),"")</f>
        <v/>
      </c>
      <c r="L176" s="289" t="e">
        <f>+IF(J176="Preventivo","Probabilidad",IF(J176="Detectivo","Probabilidad",IF(#REF!="Correctivo","Impacto","")))</f>
        <v>#REF!</v>
      </c>
      <c r="M176" s="290"/>
      <c r="N176" s="289" t="str">
        <f>+IFERROR(VLOOKUP($M176,'11 FORMULAS'!$B$54:$C$55,2,0),"")</f>
        <v/>
      </c>
      <c r="O176" s="291"/>
      <c r="P176" s="291"/>
      <c r="Q176" s="291"/>
      <c r="R176" s="291"/>
      <c r="S176" s="289" t="str">
        <f t="shared" si="24"/>
        <v/>
      </c>
      <c r="T176" s="289" t="str">
        <f>+IFERROR(C176*S176,"")</f>
        <v/>
      </c>
      <c r="U176" s="289" t="str">
        <f>+IFERROR(C176-T176,"")</f>
        <v/>
      </c>
      <c r="V176" s="234">
        <f>+'3 PROBABIL E IMPACTO INHERENTE'!M37</f>
        <v>0.4</v>
      </c>
    </row>
    <row r="177" spans="1:22" ht="40.5" customHeight="1" x14ac:dyDescent="0.25">
      <c r="A177" s="252"/>
      <c r="B177" s="188"/>
      <c r="C177" s="253"/>
      <c r="D177" s="254"/>
      <c r="E177" s="172">
        <v>2</v>
      </c>
      <c r="F177" s="286"/>
      <c r="G177" s="286"/>
      <c r="H177" s="286"/>
      <c r="I177" s="172"/>
      <c r="J177" s="149"/>
      <c r="K177" s="289" t="str">
        <f>+IFERROR(VLOOKUP($J177,'11 FORMULAS'!$B$51:$C$53,2,0),"")</f>
        <v/>
      </c>
      <c r="L177" s="289" t="e">
        <f>+IF(J177="Preventivo","Probabilidad",IF(J177="Detectivo","Probabilidad",IF(#REF!="Correctivo","Impacto","")))</f>
        <v>#REF!</v>
      </c>
      <c r="M177" s="290"/>
      <c r="N177" s="289" t="str">
        <f>+IFERROR(VLOOKUP($M177,'11 FORMULAS'!$B$54:$C$55,2,0),"")</f>
        <v/>
      </c>
      <c r="O177" s="291"/>
      <c r="P177" s="291"/>
      <c r="Q177" s="291"/>
      <c r="R177" s="291"/>
      <c r="S177" s="289" t="str">
        <f t="shared" si="24"/>
        <v/>
      </c>
      <c r="T177" s="289" t="str">
        <f t="shared" ref="T177:T181" si="43">+IFERROR(C177*S177,"")</f>
        <v/>
      </c>
      <c r="U177" s="289" t="str">
        <f t="shared" ref="U177:U181" si="44">+IFERROR(S177-T177,"")</f>
        <v/>
      </c>
      <c r="V177" s="238"/>
    </row>
    <row r="178" spans="1:22" ht="40.5" customHeight="1" x14ac:dyDescent="0.25">
      <c r="A178" s="252"/>
      <c r="B178" s="188"/>
      <c r="C178" s="253"/>
      <c r="D178" s="254"/>
      <c r="E178" s="172">
        <v>3</v>
      </c>
      <c r="F178" s="298"/>
      <c r="G178" s="299"/>
      <c r="H178" s="299"/>
      <c r="I178" s="172" t="str">
        <f t="shared" si="28"/>
        <v xml:space="preserve">  </v>
      </c>
      <c r="J178" s="149"/>
      <c r="K178" s="289" t="str">
        <f>+IFERROR(VLOOKUP($J178,'11 FORMULAS'!$B$51:$C$53,2,0),"")</f>
        <v/>
      </c>
      <c r="L178" s="289" t="e">
        <f>+IF(J178="Preventivo","Probabilidad",IF(J178="Detectivo","Probabilidad",IF(#REF!="Correctivo","Impacto","")))</f>
        <v>#REF!</v>
      </c>
      <c r="M178" s="290"/>
      <c r="N178" s="289" t="str">
        <f>+IFERROR(VLOOKUP($M178,'11 FORMULAS'!$B$54:$C$55,2,0),"")</f>
        <v/>
      </c>
      <c r="O178" s="291"/>
      <c r="P178" s="291"/>
      <c r="Q178" s="291"/>
      <c r="R178" s="291"/>
      <c r="S178" s="289" t="str">
        <f t="shared" si="24"/>
        <v/>
      </c>
      <c r="T178" s="289" t="str">
        <f t="shared" si="43"/>
        <v/>
      </c>
      <c r="U178" s="289" t="str">
        <f t="shared" si="44"/>
        <v/>
      </c>
      <c r="V178" s="238"/>
    </row>
    <row r="179" spans="1:22" ht="40.5" customHeight="1" x14ac:dyDescent="0.25">
      <c r="A179" s="235"/>
      <c r="B179" s="180"/>
      <c r="C179" s="236"/>
      <c r="D179" s="237"/>
      <c r="E179" s="172">
        <v>4</v>
      </c>
      <c r="F179" s="292"/>
      <c r="G179" s="149"/>
      <c r="H179" s="149"/>
      <c r="I179" s="172" t="str">
        <f t="shared" si="28"/>
        <v xml:space="preserve">  </v>
      </c>
      <c r="J179" s="149"/>
      <c r="K179" s="289" t="str">
        <f>+IFERROR(VLOOKUP($J179,'11 FORMULAS'!$B$51:$C$53,2,0),"")</f>
        <v/>
      </c>
      <c r="L179" s="289" t="e">
        <f>+IF(J179="Preventivo","Probabilidad",IF(J179="Detectivo","Probabilidad",IF(#REF!="Correctivo","Impacto","")))</f>
        <v>#REF!</v>
      </c>
      <c r="M179" s="290"/>
      <c r="N179" s="289" t="str">
        <f>+IFERROR(VLOOKUP($M179,'11 FORMULAS'!$B$54:$C$55,2,0),"")</f>
        <v/>
      </c>
      <c r="O179" s="291"/>
      <c r="P179" s="291"/>
      <c r="Q179" s="291"/>
      <c r="R179" s="291"/>
      <c r="S179" s="289" t="str">
        <f t="shared" si="24"/>
        <v/>
      </c>
      <c r="T179" s="289" t="str">
        <f t="shared" si="43"/>
        <v/>
      </c>
      <c r="U179" s="289" t="str">
        <f t="shared" si="44"/>
        <v/>
      </c>
      <c r="V179" s="238"/>
    </row>
    <row r="180" spans="1:22" ht="40.5" customHeight="1" x14ac:dyDescent="0.25">
      <c r="A180" s="235"/>
      <c r="B180" s="180"/>
      <c r="C180" s="236"/>
      <c r="D180" s="237"/>
      <c r="E180" s="172">
        <v>5</v>
      </c>
      <c r="F180" s="292"/>
      <c r="G180" s="149"/>
      <c r="H180" s="149"/>
      <c r="I180" s="172" t="str">
        <f t="shared" si="28"/>
        <v xml:space="preserve">  </v>
      </c>
      <c r="J180" s="149"/>
      <c r="K180" s="289" t="str">
        <f>+IFERROR(VLOOKUP($J180,'11 FORMULAS'!$B$51:$C$53,2,0),"")</f>
        <v/>
      </c>
      <c r="L180" s="289" t="e">
        <f>+IF(J180="Preventivo","Probabilidad",IF(J180="Detectivo","Probabilidad",IF(#REF!="Correctivo","Impacto","")))</f>
        <v>#REF!</v>
      </c>
      <c r="M180" s="290"/>
      <c r="N180" s="289" t="str">
        <f>+IFERROR(VLOOKUP($M180,'11 FORMULAS'!$B$54:$C$55,2,0),"")</f>
        <v/>
      </c>
      <c r="O180" s="291"/>
      <c r="P180" s="291"/>
      <c r="Q180" s="291"/>
      <c r="R180" s="291"/>
      <c r="S180" s="289" t="str">
        <f t="shared" si="24"/>
        <v/>
      </c>
      <c r="T180" s="289" t="str">
        <f t="shared" si="43"/>
        <v/>
      </c>
      <c r="U180" s="289" t="str">
        <f t="shared" si="44"/>
        <v/>
      </c>
      <c r="V180" s="238"/>
    </row>
    <row r="181" spans="1:22" ht="40.5" customHeight="1" thickBot="1" x14ac:dyDescent="0.3">
      <c r="A181" s="240"/>
      <c r="B181" s="182"/>
      <c r="C181" s="241"/>
      <c r="D181" s="242"/>
      <c r="E181" s="131">
        <v>6</v>
      </c>
      <c r="F181" s="293"/>
      <c r="G181" s="294"/>
      <c r="H181" s="294"/>
      <c r="I181" s="172" t="str">
        <f t="shared" si="28"/>
        <v xml:space="preserve">  </v>
      </c>
      <c r="J181" s="149"/>
      <c r="K181" s="289" t="str">
        <f>+IFERROR(VLOOKUP($J181,'11 FORMULAS'!$B$51:$C$53,2,0),"")</f>
        <v/>
      </c>
      <c r="L181" s="289" t="e">
        <f>+IF(J181="Preventivo","Probabilidad",IF(J181="Detectivo","Probabilidad",IF(#REF!="Correctivo","Impacto","")))</f>
        <v>#REF!</v>
      </c>
      <c r="M181" s="290"/>
      <c r="N181" s="289" t="str">
        <f>+IFERROR(VLOOKUP($M181,'11 FORMULAS'!$B$54:$C$55,2,0),"")</f>
        <v/>
      </c>
      <c r="O181" s="291"/>
      <c r="P181" s="291"/>
      <c r="Q181" s="291"/>
      <c r="R181" s="291"/>
      <c r="S181" s="289" t="str">
        <f t="shared" si="24"/>
        <v/>
      </c>
      <c r="T181" s="289" t="str">
        <f t="shared" si="43"/>
        <v/>
      </c>
      <c r="U181" s="289" t="str">
        <f t="shared" si="44"/>
        <v/>
      </c>
      <c r="V181" s="244"/>
    </row>
    <row r="182" spans="1:22" ht="40.5" customHeight="1" thickBot="1" x14ac:dyDescent="0.3">
      <c r="A182" s="228" t="str">
        <f>'2 CONTEXTO E IDENTIFICACIÓN'!A38</f>
        <v>R30</v>
      </c>
      <c r="B182" s="175" t="str">
        <f>+'2 CONTEXTO E IDENTIFICACIÓN'!J38</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C182" s="229">
        <f>+'3 PROBABIL E IMPACTO INHERENTE'!E38</f>
        <v>0.4</v>
      </c>
      <c r="D182" s="230">
        <f>+'3 PROBABIL E IMPACTO INHERENTE'!M38</f>
        <v>0.4</v>
      </c>
      <c r="E182" s="295">
        <v>1</v>
      </c>
      <c r="F182" s="286" t="str">
        <f>'5 VALORACIÓN CONTROL PROBAB.'!F182</f>
        <v>El(la) coordinador(a) del grupo interno de trabajo de gestión financiera.</v>
      </c>
      <c r="G182" s="286" t="str">
        <f>'5 VALORACIÓN CONTROL PROBAB.'!G182</f>
        <v>Validar el cumplimiento de los lineamientos establecidos en el Protocolo de seguridad y manejo de tesorería autorizadas por el Ministerio de Hacienda.</v>
      </c>
      <c r="H182" s="286" t="str">
        <f>'5 VALORACIÓN CONTROL PROBAB.'!H182</f>
        <v>Cualquier solicitud a la entidad bancaria que implique cambios en la plataforma de pagos o que no se encuentre dentro del protocolo establecido, debe ser firmada por el representante legal de la Agencia.</v>
      </c>
      <c r="I182" s="172" t="str">
        <f t="shared" ref="I182" si="45">+CONCATENATE(F182," ",G182," ",H182)</f>
        <v>El(la) coordinador(a) del grupo interno de trabajo de gestión financiera. Validar el cumplimiento de los lineamientos establecidos en el Protocolo de seguridad y manejo de tesorería autorizadas por el Ministerio de Hacienda. Cualquier solicitud a la entidad bancaria que implique cambios en la plataforma de pagos o que no se encuentre dentro del protocolo establecido, debe ser firmada por el representante legal de la Agencia.</v>
      </c>
      <c r="J182" s="149"/>
      <c r="K182" s="289" t="str">
        <f>+IFERROR(VLOOKUP($J182,'11 FORMULAS'!$B$51:$C$53,2,0),"")</f>
        <v/>
      </c>
      <c r="L182" s="289" t="e">
        <f>+IF(J182="Preventivo","Probabilidad",IF(J182="Detectivo","Probabilidad",IF(#REF!="Correctivo","Impacto","")))</f>
        <v>#REF!</v>
      </c>
      <c r="M182" s="290"/>
      <c r="N182" s="289" t="str">
        <f>+IFERROR(VLOOKUP($M182,'11 FORMULAS'!$B$54:$C$55,2,0),"")</f>
        <v/>
      </c>
      <c r="O182" s="291"/>
      <c r="P182" s="291"/>
      <c r="Q182" s="291"/>
      <c r="R182" s="291"/>
      <c r="S182" s="289" t="str">
        <f t="shared" si="24"/>
        <v/>
      </c>
      <c r="T182" s="289" t="str">
        <f>+IFERROR(C182*S182,"")</f>
        <v/>
      </c>
      <c r="U182" s="289" t="str">
        <f>+IFERROR(C182-T182,"")</f>
        <v/>
      </c>
      <c r="V182" s="234">
        <f>+'3 PROBABIL E IMPACTO INHERENTE'!M38</f>
        <v>0.4</v>
      </c>
    </row>
    <row r="183" spans="1:22" ht="40.5" customHeight="1" thickBot="1" x14ac:dyDescent="0.3">
      <c r="A183" s="252"/>
      <c r="B183" s="188"/>
      <c r="C183" s="253"/>
      <c r="D183" s="254"/>
      <c r="E183" s="172">
        <v>2</v>
      </c>
      <c r="F183" s="286" t="str">
        <f>'5 VALORACIÓN CONTROL PROBAB.'!F183</f>
        <v>El(la) profesional con funciones de central de cuentas del proceso de gestión financiera.</v>
      </c>
      <c r="G183" s="286" t="str">
        <f>'5 VALORACIÓN CONTROL PROBAB.'!G183</f>
        <v>Realizar conciliaciones bancarias acorde con lo establecido en el Procedimiento de elaboración de estados financieros.</v>
      </c>
      <c r="H183" s="286" t="str">
        <f>'5 VALORACIÓN CONTROL PROBAB.'!H183</f>
        <v>En caso de no realizarse la conciliación bancaria en los tiempos establecidos, el profesional especializado con funciones de contador de la Agencia identifica las razones de la no conciliación, por parte del reponsable de la función y procede a su realización.</v>
      </c>
      <c r="I183" s="172" t="str">
        <f t="shared" ref="I183" si="46">+CONCATENATE(F183," ",G183," ",H183)</f>
        <v>El(la) profesional con funciones de central de cuentas del proceso de gestión financiera. Realizar conciliaciones bancarias acorde con lo establecido en el Procedimiento de elaboración de estados financieros. En caso de no realizarse la conciliación bancaria en los tiempos establecidos, el profesional especializado con funciones de contador de la Agencia identifica las razones de la no conciliación, por parte del reponsable de la función y procede a su realización.</v>
      </c>
      <c r="J183" s="149"/>
      <c r="K183" s="289" t="str">
        <f>+IFERROR(VLOOKUP($J183,'11 FORMULAS'!$B$51:$C$53,2,0),"")</f>
        <v/>
      </c>
      <c r="L183" s="289" t="e">
        <f>+IF(J183="Preventivo","Probabilidad",IF(J183="Detectivo","Probabilidad",IF(#REF!="Correctivo","Impacto","")))</f>
        <v>#REF!</v>
      </c>
      <c r="M183" s="290"/>
      <c r="N183" s="289" t="str">
        <f>+IFERROR(VLOOKUP($M183,'11 FORMULAS'!$B$54:$C$55,2,0),"")</f>
        <v/>
      </c>
      <c r="O183" s="291"/>
      <c r="P183" s="291"/>
      <c r="Q183" s="291"/>
      <c r="R183" s="291"/>
      <c r="S183" s="289" t="str">
        <f t="shared" si="24"/>
        <v/>
      </c>
      <c r="T183" s="289" t="str">
        <f t="shared" ref="T183:T187" si="47">+IFERROR(C183*S183,"")</f>
        <v/>
      </c>
      <c r="U183" s="289" t="str">
        <f t="shared" ref="U183:U187" si="48">+IFERROR(S183-T183,"")</f>
        <v/>
      </c>
      <c r="V183" s="238"/>
    </row>
    <row r="184" spans="1:22" ht="40.5" customHeight="1" thickBot="1" x14ac:dyDescent="0.3">
      <c r="A184" s="252"/>
      <c r="B184" s="188"/>
      <c r="C184" s="253"/>
      <c r="D184" s="254"/>
      <c r="E184" s="172">
        <v>3</v>
      </c>
      <c r="F184" s="286"/>
      <c r="G184" s="286"/>
      <c r="H184" s="286"/>
      <c r="I184" s="172"/>
      <c r="J184" s="149"/>
      <c r="K184" s="289" t="str">
        <f>+IFERROR(VLOOKUP($J184,'11 FORMULAS'!$B$51:$C$53,2,0),"")</f>
        <v/>
      </c>
      <c r="L184" s="289" t="e">
        <f>+IF(J184="Preventivo","Probabilidad",IF(J184="Detectivo","Probabilidad",IF(#REF!="Correctivo","Impacto","")))</f>
        <v>#REF!</v>
      </c>
      <c r="M184" s="290"/>
      <c r="N184" s="289" t="str">
        <f>+IFERROR(VLOOKUP($M184,'11 FORMULAS'!$B$54:$C$55,2,0),"")</f>
        <v/>
      </c>
      <c r="O184" s="291"/>
      <c r="P184" s="291"/>
      <c r="Q184" s="291"/>
      <c r="R184" s="291"/>
      <c r="S184" s="289" t="str">
        <f t="shared" si="24"/>
        <v/>
      </c>
      <c r="T184" s="289" t="str">
        <f t="shared" si="47"/>
        <v/>
      </c>
      <c r="U184" s="289" t="str">
        <f t="shared" si="48"/>
        <v/>
      </c>
      <c r="V184" s="238"/>
    </row>
    <row r="185" spans="1:22" ht="40.5" customHeight="1" thickBot="1" x14ac:dyDescent="0.3">
      <c r="A185" s="235"/>
      <c r="B185" s="180"/>
      <c r="C185" s="236"/>
      <c r="D185" s="237"/>
      <c r="E185" s="172">
        <v>4</v>
      </c>
      <c r="F185" s="286"/>
      <c r="G185" s="286"/>
      <c r="H185" s="286"/>
      <c r="I185" s="172"/>
      <c r="J185" s="149"/>
      <c r="K185" s="289" t="str">
        <f>+IFERROR(VLOOKUP($J185,'11 FORMULAS'!$B$51:$C$53,2,0),"")</f>
        <v/>
      </c>
      <c r="L185" s="289" t="e">
        <f>+IF(J185="Preventivo","Probabilidad",IF(J185="Detectivo","Probabilidad",IF(#REF!="Correctivo","Impacto","")))</f>
        <v>#REF!</v>
      </c>
      <c r="M185" s="290"/>
      <c r="N185" s="289" t="str">
        <f>+IFERROR(VLOOKUP($M185,'11 FORMULAS'!$B$54:$C$55,2,0),"")</f>
        <v/>
      </c>
      <c r="O185" s="291"/>
      <c r="P185" s="291"/>
      <c r="Q185" s="291"/>
      <c r="R185" s="291"/>
      <c r="S185" s="289" t="str">
        <f t="shared" si="24"/>
        <v/>
      </c>
      <c r="T185" s="289" t="str">
        <f t="shared" si="47"/>
        <v/>
      </c>
      <c r="U185" s="289" t="str">
        <f t="shared" si="48"/>
        <v/>
      </c>
      <c r="V185" s="238"/>
    </row>
    <row r="186" spans="1:22" ht="40.5" customHeight="1" thickBot="1" x14ac:dyDescent="0.3">
      <c r="A186" s="235"/>
      <c r="B186" s="180"/>
      <c r="C186" s="236"/>
      <c r="D186" s="237"/>
      <c r="E186" s="172">
        <v>5</v>
      </c>
      <c r="F186" s="286"/>
      <c r="G186" s="286"/>
      <c r="H186" s="286"/>
      <c r="I186" s="172"/>
      <c r="J186" s="149"/>
      <c r="K186" s="289" t="str">
        <f>+IFERROR(VLOOKUP($J186,'11 FORMULAS'!$B$51:$C$53,2,0),"")</f>
        <v/>
      </c>
      <c r="L186" s="289" t="e">
        <f>+IF(J186="Preventivo","Probabilidad",IF(J186="Detectivo","Probabilidad",IF(#REF!="Correctivo","Impacto","")))</f>
        <v>#REF!</v>
      </c>
      <c r="M186" s="290"/>
      <c r="N186" s="289" t="str">
        <f>+IFERROR(VLOOKUP($M186,'11 FORMULAS'!$B$54:$C$55,2,0),"")</f>
        <v/>
      </c>
      <c r="O186" s="291"/>
      <c r="P186" s="291"/>
      <c r="Q186" s="291"/>
      <c r="R186" s="291"/>
      <c r="S186" s="289" t="str">
        <f t="shared" si="24"/>
        <v/>
      </c>
      <c r="T186" s="289" t="str">
        <f t="shared" si="47"/>
        <v/>
      </c>
      <c r="U186" s="289" t="str">
        <f t="shared" si="48"/>
        <v/>
      </c>
      <c r="V186" s="238"/>
    </row>
    <row r="187" spans="1:22" ht="40.5" customHeight="1" thickBot="1" x14ac:dyDescent="0.3">
      <c r="A187" s="240"/>
      <c r="B187" s="182"/>
      <c r="C187" s="241"/>
      <c r="D187" s="242"/>
      <c r="E187" s="131">
        <v>6</v>
      </c>
      <c r="F187" s="286"/>
      <c r="G187" s="286"/>
      <c r="H187" s="286"/>
      <c r="I187" s="172"/>
      <c r="J187" s="149"/>
      <c r="K187" s="289" t="str">
        <f>+IFERROR(VLOOKUP($J187,'11 FORMULAS'!$B$51:$C$53,2,0),"")</f>
        <v/>
      </c>
      <c r="L187" s="289" t="e">
        <f>+IF(J187="Preventivo","Probabilidad",IF(J187="Detectivo","Probabilidad",IF(#REF!="Correctivo","Impacto","")))</f>
        <v>#REF!</v>
      </c>
      <c r="M187" s="290"/>
      <c r="N187" s="289" t="str">
        <f>+IFERROR(VLOOKUP($M187,'11 FORMULAS'!$B$54:$C$55,2,0),"")</f>
        <v/>
      </c>
      <c r="O187" s="291"/>
      <c r="P187" s="291"/>
      <c r="Q187" s="291"/>
      <c r="R187" s="291"/>
      <c r="S187" s="289" t="str">
        <f t="shared" si="24"/>
        <v/>
      </c>
      <c r="T187" s="289" t="str">
        <f t="shared" si="47"/>
        <v/>
      </c>
      <c r="U187" s="289" t="str">
        <f t="shared" si="48"/>
        <v/>
      </c>
      <c r="V187" s="244"/>
    </row>
    <row r="188" spans="1:22" ht="78" customHeight="1" x14ac:dyDescent="0.25">
      <c r="A188" s="228" t="str">
        <f>'2 CONTEXTO E IDENTIFICACIÓN'!A39</f>
        <v>R31</v>
      </c>
      <c r="B188" s="175" t="str">
        <f>+'2 CONTEXTO E IDENTIFICACIÓN'!J39</f>
        <v>Posibilidad de afectación económica y reputacional por la insuficiencia de controles adecuados para el registro de cuentas por pagar y obligaciones a causa de  la falta de seguimiento y control por parte de los supervisores de contrato u orden de compra</v>
      </c>
      <c r="C188" s="229">
        <f>+'3 PROBABIL E IMPACTO INHERENTE'!E39</f>
        <v>0.4</v>
      </c>
      <c r="D188" s="230">
        <f>+'3 PROBABIL E IMPACTO INHERENTE'!M39</f>
        <v>0.4</v>
      </c>
      <c r="E188" s="295">
        <v>1</v>
      </c>
      <c r="F188" s="286" t="str">
        <f>'5 VALORACIÓN CONTROL PROBAB.'!F188</f>
        <v>El(la) contador(a) del grupo interno de trabajo de gestión financiera o quién haga sus veces.</v>
      </c>
      <c r="G188" s="286" t="str">
        <f>'5 VALORACIÓN CONTROL PROBAB.'!G188</f>
        <v>Realizar seguimiento y verificación en SECOP II y aplicar formato de seguimiento a los proveedores con más de un contrato u orden de compra suscrito con APC-Colombia.</v>
      </c>
      <c r="H188" s="286" t="str">
        <f>'5 VALORACIÓN CONTROL PROBAB.'!H188</f>
        <v>En caso de encontrar inconsistencias en la solicitud de pago, éste será devuelto para verificación y corrección por parte del proveedor y superviso</v>
      </c>
      <c r="I188" s="172" t="str">
        <f t="shared" si="28"/>
        <v>El(la) contador(a) del grupo interno de trabajo de gestión financiera o quién haga sus veces. Realizar seguimiento y verificación en SECOP II y aplicar formato de seguimiento a los proveedores con más de un contrato u orden de compra suscrito con APC-Colombia. En caso de encontrar inconsistencias en la solicitud de pago, éste será devuelto para verificación y corrección por parte del proveedor y superviso</v>
      </c>
      <c r="J188" s="149"/>
      <c r="K188" s="289" t="str">
        <f>+IFERROR(VLOOKUP($J188,'11 FORMULAS'!$B$51:$C$53,2,0),"")</f>
        <v/>
      </c>
      <c r="L188" s="289" t="e">
        <f>+IF(J188="Preventivo","Probabilidad",IF(J188="Detectivo","Probabilidad",IF(#REF!="Correctivo","Impacto","")))</f>
        <v>#REF!</v>
      </c>
      <c r="M188" s="290"/>
      <c r="N188" s="289" t="str">
        <f>+IFERROR(VLOOKUP($M188,'11 FORMULAS'!$B$54:$C$55,2,0),"")</f>
        <v/>
      </c>
      <c r="O188" s="291" t="s">
        <v>201</v>
      </c>
      <c r="P188" s="291"/>
      <c r="Q188" s="291"/>
      <c r="R188" s="291"/>
      <c r="S188" s="289" t="str">
        <f t="shared" si="24"/>
        <v/>
      </c>
      <c r="T188" s="289" t="str">
        <f>+IFERROR(C188*S188,"")</f>
        <v/>
      </c>
      <c r="U188" s="289" t="str">
        <f>+IFERROR(C188-T188,"")</f>
        <v/>
      </c>
      <c r="V188" s="234">
        <f>+'3 PROBABIL E IMPACTO INHERENTE'!M39</f>
        <v>0.4</v>
      </c>
    </row>
    <row r="189" spans="1:22" ht="40.5" customHeight="1" x14ac:dyDescent="0.25">
      <c r="A189" s="252"/>
      <c r="B189" s="188"/>
      <c r="C189" s="253"/>
      <c r="D189" s="254"/>
      <c r="E189" s="172">
        <v>2</v>
      </c>
      <c r="F189" s="298"/>
      <c r="G189" s="299"/>
      <c r="H189" s="299"/>
      <c r="I189" s="172" t="str">
        <f t="shared" si="28"/>
        <v xml:space="preserve">  </v>
      </c>
      <c r="J189" s="149"/>
      <c r="K189" s="289" t="str">
        <f>+IFERROR(VLOOKUP($J189,'11 FORMULAS'!$B$51:$C$53,2,0),"")</f>
        <v/>
      </c>
      <c r="L189" s="289" t="e">
        <f>+IF(J189="Preventivo","Probabilidad",IF(J189="Detectivo","Probabilidad",IF(#REF!="Correctivo","Impacto","")))</f>
        <v>#REF!</v>
      </c>
      <c r="M189" s="290"/>
      <c r="N189" s="289" t="str">
        <f>+IFERROR(VLOOKUP($M189,'11 FORMULAS'!$B$54:$C$55,2,0),"")</f>
        <v/>
      </c>
      <c r="O189" s="291"/>
      <c r="P189" s="291"/>
      <c r="Q189" s="291"/>
      <c r="R189" s="291"/>
      <c r="S189" s="289" t="str">
        <f t="shared" si="24"/>
        <v/>
      </c>
      <c r="T189" s="289" t="str">
        <f t="shared" ref="T189:T193" si="49">+IFERROR(C189*S189,"")</f>
        <v/>
      </c>
      <c r="U189" s="289" t="str">
        <f t="shared" ref="U189:U193" si="50">+IFERROR(S189-T189,"")</f>
        <v/>
      </c>
      <c r="V189" s="238"/>
    </row>
    <row r="190" spans="1:22" ht="40.5" customHeight="1" x14ac:dyDescent="0.25">
      <c r="A190" s="252"/>
      <c r="B190" s="188"/>
      <c r="C190" s="253"/>
      <c r="D190" s="254"/>
      <c r="E190" s="172">
        <v>3</v>
      </c>
      <c r="F190" s="298"/>
      <c r="G190" s="299"/>
      <c r="H190" s="299"/>
      <c r="I190" s="172" t="str">
        <f t="shared" si="28"/>
        <v xml:space="preserve">  </v>
      </c>
      <c r="J190" s="149"/>
      <c r="K190" s="289" t="str">
        <f>+IFERROR(VLOOKUP($J190,'11 FORMULAS'!$B$51:$C$53,2,0),"")</f>
        <v/>
      </c>
      <c r="L190" s="289" t="e">
        <f>+IF(J190="Preventivo","Probabilidad",IF(J190="Detectivo","Probabilidad",IF(#REF!="Correctivo","Impacto","")))</f>
        <v>#REF!</v>
      </c>
      <c r="M190" s="290"/>
      <c r="N190" s="289" t="str">
        <f>+IFERROR(VLOOKUP($M190,'11 FORMULAS'!$B$54:$C$55,2,0),"")</f>
        <v/>
      </c>
      <c r="O190" s="291"/>
      <c r="P190" s="291"/>
      <c r="Q190" s="291"/>
      <c r="R190" s="291"/>
      <c r="S190" s="289" t="str">
        <f t="shared" si="24"/>
        <v/>
      </c>
      <c r="T190" s="289" t="str">
        <f t="shared" si="49"/>
        <v/>
      </c>
      <c r="U190" s="289" t="str">
        <f t="shared" si="50"/>
        <v/>
      </c>
      <c r="V190" s="238"/>
    </row>
    <row r="191" spans="1:22" ht="40.5" customHeight="1" x14ac:dyDescent="0.25">
      <c r="A191" s="235"/>
      <c r="B191" s="180"/>
      <c r="C191" s="236"/>
      <c r="D191" s="237"/>
      <c r="E191" s="172">
        <v>4</v>
      </c>
      <c r="F191" s="292"/>
      <c r="G191" s="149"/>
      <c r="H191" s="149"/>
      <c r="I191" s="172" t="str">
        <f t="shared" si="28"/>
        <v xml:space="preserve">  </v>
      </c>
      <c r="J191" s="149"/>
      <c r="K191" s="289" t="str">
        <f>+IFERROR(VLOOKUP($J191,'11 FORMULAS'!$B$51:$C$53,2,0),"")</f>
        <v/>
      </c>
      <c r="L191" s="289" t="e">
        <f>+IF(J191="Preventivo","Probabilidad",IF(J191="Detectivo","Probabilidad",IF(#REF!="Correctivo","Impacto","")))</f>
        <v>#REF!</v>
      </c>
      <c r="M191" s="290"/>
      <c r="N191" s="289" t="str">
        <f>+IFERROR(VLOOKUP($M191,'11 FORMULAS'!$B$54:$C$55,2,0),"")</f>
        <v/>
      </c>
      <c r="O191" s="291"/>
      <c r="P191" s="291"/>
      <c r="Q191" s="291"/>
      <c r="R191" s="291"/>
      <c r="S191" s="289" t="str">
        <f t="shared" si="24"/>
        <v/>
      </c>
      <c r="T191" s="289" t="str">
        <f t="shared" si="49"/>
        <v/>
      </c>
      <c r="U191" s="289" t="str">
        <f t="shared" si="50"/>
        <v/>
      </c>
      <c r="V191" s="238"/>
    </row>
    <row r="192" spans="1:22" ht="40.5" customHeight="1" x14ac:dyDescent="0.25">
      <c r="A192" s="235"/>
      <c r="B192" s="180"/>
      <c r="C192" s="236"/>
      <c r="D192" s="237"/>
      <c r="E192" s="172">
        <v>5</v>
      </c>
      <c r="F192" s="292"/>
      <c r="G192" s="149"/>
      <c r="H192" s="149"/>
      <c r="I192" s="172" t="str">
        <f t="shared" si="28"/>
        <v xml:space="preserve">  </v>
      </c>
      <c r="J192" s="149"/>
      <c r="K192" s="289" t="str">
        <f>+IFERROR(VLOOKUP($J192,'11 FORMULAS'!$B$51:$C$53,2,0),"")</f>
        <v/>
      </c>
      <c r="L192" s="289" t="e">
        <f>+IF(J192="Preventivo","Probabilidad",IF(J192="Detectivo","Probabilidad",IF(#REF!="Correctivo","Impacto","")))</f>
        <v>#REF!</v>
      </c>
      <c r="M192" s="290"/>
      <c r="N192" s="289" t="str">
        <f>+IFERROR(VLOOKUP($M192,'11 FORMULAS'!$B$54:$C$55,2,0),"")</f>
        <v/>
      </c>
      <c r="O192" s="291"/>
      <c r="P192" s="291"/>
      <c r="Q192" s="291"/>
      <c r="R192" s="291"/>
      <c r="S192" s="289" t="str">
        <f t="shared" si="24"/>
        <v/>
      </c>
      <c r="T192" s="289" t="str">
        <f t="shared" si="49"/>
        <v/>
      </c>
      <c r="U192" s="289" t="str">
        <f t="shared" si="50"/>
        <v/>
      </c>
      <c r="V192" s="238"/>
    </row>
    <row r="193" spans="1:22" ht="40.5" customHeight="1" thickBot="1" x14ac:dyDescent="0.3">
      <c r="A193" s="240"/>
      <c r="B193" s="182"/>
      <c r="C193" s="241"/>
      <c r="D193" s="242"/>
      <c r="E193" s="131">
        <v>6</v>
      </c>
      <c r="F193" s="293"/>
      <c r="G193" s="294"/>
      <c r="H193" s="294"/>
      <c r="I193" s="172" t="str">
        <f t="shared" si="28"/>
        <v xml:space="preserve">  </v>
      </c>
      <c r="J193" s="149"/>
      <c r="K193" s="289" t="str">
        <f>+IFERROR(VLOOKUP($J193,'11 FORMULAS'!$B$51:$C$53,2,0),"")</f>
        <v/>
      </c>
      <c r="L193" s="289" t="e">
        <f>+IF(J193="Preventivo","Probabilidad",IF(J193="Detectivo","Probabilidad",IF(#REF!="Correctivo","Impacto","")))</f>
        <v>#REF!</v>
      </c>
      <c r="M193" s="290"/>
      <c r="N193" s="289" t="str">
        <f>+IFERROR(VLOOKUP($M193,'11 FORMULAS'!$B$54:$C$55,2,0),"")</f>
        <v/>
      </c>
      <c r="O193" s="291"/>
      <c r="P193" s="291"/>
      <c r="Q193" s="291"/>
      <c r="R193" s="291"/>
      <c r="S193" s="289" t="str">
        <f t="shared" si="24"/>
        <v/>
      </c>
      <c r="T193" s="289" t="str">
        <f t="shared" si="49"/>
        <v/>
      </c>
      <c r="U193" s="289" t="str">
        <f t="shared" si="50"/>
        <v/>
      </c>
      <c r="V193" s="244"/>
    </row>
  </sheetData>
  <sheetProtection formatCells="0" formatColumns="0" formatRows="0" sort="0" autoFilter="0" pivotTables="0"/>
  <autoFilter ref="A7:W127"/>
  <dataConsolidate/>
  <mergeCells count="173">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28:A133"/>
    <mergeCell ref="B128:B133"/>
    <mergeCell ref="C128:C133"/>
    <mergeCell ref="D128:D133"/>
    <mergeCell ref="V128:V133"/>
    <mergeCell ref="A134:A139"/>
    <mergeCell ref="B134:B139"/>
    <mergeCell ref="C134:C139"/>
    <mergeCell ref="D134:D139"/>
    <mergeCell ref="V134:V139"/>
    <mergeCell ref="A140:A145"/>
    <mergeCell ref="B140:B145"/>
    <mergeCell ref="C140:C145"/>
    <mergeCell ref="D140:D145"/>
    <mergeCell ref="A146:A151"/>
    <mergeCell ref="B146:B151"/>
    <mergeCell ref="C146:C151"/>
    <mergeCell ref="D146:D151"/>
    <mergeCell ref="A152:A157"/>
    <mergeCell ref="B152:B157"/>
    <mergeCell ref="C152:C157"/>
    <mergeCell ref="D152:D157"/>
    <mergeCell ref="A158:A163"/>
    <mergeCell ref="B158:B163"/>
    <mergeCell ref="C158:C163"/>
    <mergeCell ref="D158:D163"/>
    <mergeCell ref="A164:A169"/>
    <mergeCell ref="B164:B169"/>
    <mergeCell ref="C164:C169"/>
    <mergeCell ref="D164:D169"/>
    <mergeCell ref="A170:A175"/>
    <mergeCell ref="B170:B175"/>
    <mergeCell ref="C170:C175"/>
    <mergeCell ref="D170:D175"/>
    <mergeCell ref="A176:A181"/>
    <mergeCell ref="B176:B181"/>
    <mergeCell ref="C176:C181"/>
    <mergeCell ref="D176:D181"/>
    <mergeCell ref="A182:A187"/>
    <mergeCell ref="B182:B187"/>
    <mergeCell ref="C182:C187"/>
    <mergeCell ref="D182:D187"/>
    <mergeCell ref="A188:A193"/>
    <mergeCell ref="B188:B193"/>
    <mergeCell ref="C188:C193"/>
    <mergeCell ref="D188:D193"/>
    <mergeCell ref="V140:V145"/>
    <mergeCell ref="V146:V151"/>
    <mergeCell ref="V152:V157"/>
    <mergeCell ref="V158:V163"/>
    <mergeCell ref="V164:V169"/>
    <mergeCell ref="V170:V175"/>
    <mergeCell ref="V176:V181"/>
    <mergeCell ref="V182:V187"/>
    <mergeCell ref="V188:V193"/>
  </mergeCells>
  <conditionalFormatting sqref="C8:D8 C14:D14 C20:D20 C26:D26 C32:D34 C38:D40 C44:D44 C50:D50 C56:D56 C62:D62 C68:D70 C74:D74 C80:D80 C86:D86 C92:D92 C98:D98 C104:D106 C110:D112 C116:D118 C122:D124">
    <cfRule type="cellIs" dxfId="109" priority="71" operator="between">
      <formula>$Y$6</formula>
      <formula>$Z$6</formula>
    </cfRule>
    <cfRule type="cellIs" dxfId="108" priority="72" operator="between">
      <formula>$Y$7</formula>
      <formula>$Z$7</formula>
    </cfRule>
    <cfRule type="cellIs" dxfId="107" priority="73" operator="between">
      <formula>$Y$8</formula>
      <formula>$Z$8</formula>
    </cfRule>
    <cfRule type="cellIs" dxfId="106" priority="74" operator="between">
      <formula>$Y$9</formula>
      <formula>$Z$9</formula>
    </cfRule>
    <cfRule type="cellIs" dxfId="105" priority="75" operator="between">
      <formula>$Y$10</formula>
      <formula>$Z$10</formula>
    </cfRule>
  </conditionalFormatting>
  <conditionalFormatting sqref="C128:D130">
    <cfRule type="cellIs" dxfId="104" priority="51" operator="between">
      <formula>$Y$6</formula>
      <formula>$Z$6</formula>
    </cfRule>
    <cfRule type="cellIs" dxfId="103" priority="52" operator="between">
      <formula>$Y$7</formula>
      <formula>$Z$7</formula>
    </cfRule>
    <cfRule type="cellIs" dxfId="102" priority="53" operator="between">
      <formula>$Y$8</formula>
      <formula>$Z$8</formula>
    </cfRule>
    <cfRule type="cellIs" dxfId="101" priority="54" operator="between">
      <formula>$Y$9</formula>
      <formula>$Z$9</formula>
    </cfRule>
    <cfRule type="cellIs" dxfId="100" priority="55" operator="between">
      <formula>$Y$10</formula>
      <formula>$Z$10</formula>
    </cfRule>
  </conditionalFormatting>
  <conditionalFormatting sqref="C134:D136">
    <cfRule type="cellIs" dxfId="99" priority="46" operator="between">
      <formula>$Y$6</formula>
      <formula>$Z$6</formula>
    </cfRule>
    <cfRule type="cellIs" dxfId="98" priority="47" operator="between">
      <formula>$Y$7</formula>
      <formula>$Z$7</formula>
    </cfRule>
    <cfRule type="cellIs" dxfId="97" priority="48" operator="between">
      <formula>$Y$8</formula>
      <formula>$Z$8</formula>
    </cfRule>
    <cfRule type="cellIs" dxfId="96" priority="49" operator="between">
      <formula>$Y$9</formula>
      <formula>$Z$9</formula>
    </cfRule>
    <cfRule type="cellIs" dxfId="95" priority="50" operator="between">
      <formula>$Y$10</formula>
      <formula>$Z$10</formula>
    </cfRule>
  </conditionalFormatting>
  <conditionalFormatting sqref="C140:D142">
    <cfRule type="cellIs" dxfId="94" priority="41" operator="between">
      <formula>$Y$6</formula>
      <formula>$Z$6</formula>
    </cfRule>
    <cfRule type="cellIs" dxfId="93" priority="42" operator="between">
      <formula>$Y$7</formula>
      <formula>$Z$7</formula>
    </cfRule>
    <cfRule type="cellIs" dxfId="92" priority="43" operator="between">
      <formula>$Y$8</formula>
      <formula>$Z$8</formula>
    </cfRule>
    <cfRule type="cellIs" dxfId="91" priority="44" operator="between">
      <formula>$Y$9</formula>
      <formula>$Z$9</formula>
    </cfRule>
    <cfRule type="cellIs" dxfId="90" priority="45" operator="between">
      <formula>$Y$10</formula>
      <formula>$Z$10</formula>
    </cfRule>
  </conditionalFormatting>
  <conditionalFormatting sqref="C146:D148">
    <cfRule type="cellIs" dxfId="89" priority="36" operator="between">
      <formula>$Y$6</formula>
      <formula>$Z$6</formula>
    </cfRule>
    <cfRule type="cellIs" dxfId="88" priority="37" operator="between">
      <formula>$Y$7</formula>
      <formula>$Z$7</formula>
    </cfRule>
    <cfRule type="cellIs" dxfId="87" priority="38" operator="between">
      <formula>$Y$8</formula>
      <formula>$Z$8</formula>
    </cfRule>
    <cfRule type="cellIs" dxfId="86" priority="39" operator="between">
      <formula>$Y$9</formula>
      <formula>$Z$9</formula>
    </cfRule>
    <cfRule type="cellIs" dxfId="85" priority="40" operator="between">
      <formula>$Y$10</formula>
      <formula>$Z$10</formula>
    </cfRule>
  </conditionalFormatting>
  <conditionalFormatting sqref="C152:D154">
    <cfRule type="cellIs" dxfId="84" priority="31" operator="between">
      <formula>$Y$6</formula>
      <formula>$Z$6</formula>
    </cfRule>
    <cfRule type="cellIs" dxfId="83" priority="32" operator="between">
      <formula>$Y$7</formula>
      <formula>$Z$7</formula>
    </cfRule>
    <cfRule type="cellIs" dxfId="82" priority="33" operator="between">
      <formula>$Y$8</formula>
      <formula>$Z$8</formula>
    </cfRule>
    <cfRule type="cellIs" dxfId="81" priority="34" operator="between">
      <formula>$Y$9</formula>
      <formula>$Z$9</formula>
    </cfRule>
    <cfRule type="cellIs" dxfId="80" priority="35" operator="between">
      <formula>$Y$10</formula>
      <formula>$Z$10</formula>
    </cfRule>
  </conditionalFormatting>
  <conditionalFormatting sqref="C158:D160">
    <cfRule type="cellIs" dxfId="79" priority="26" operator="between">
      <formula>$Y$6</formula>
      <formula>$Z$6</formula>
    </cfRule>
    <cfRule type="cellIs" dxfId="78" priority="27" operator="between">
      <formula>$Y$7</formula>
      <formula>$Z$7</formula>
    </cfRule>
    <cfRule type="cellIs" dxfId="77" priority="28" operator="between">
      <formula>$Y$8</formula>
      <formula>$Z$8</formula>
    </cfRule>
    <cfRule type="cellIs" dxfId="76" priority="29" operator="between">
      <formula>$Y$9</formula>
      <formula>$Z$9</formula>
    </cfRule>
    <cfRule type="cellIs" dxfId="75" priority="30" operator="between">
      <formula>$Y$10</formula>
      <formula>$Z$10</formula>
    </cfRule>
  </conditionalFormatting>
  <conditionalFormatting sqref="C164:D166">
    <cfRule type="cellIs" dxfId="74" priority="21" operator="between">
      <formula>$Y$6</formula>
      <formula>$Z$6</formula>
    </cfRule>
    <cfRule type="cellIs" dxfId="73" priority="22" operator="between">
      <formula>$Y$7</formula>
      <formula>$Z$7</formula>
    </cfRule>
    <cfRule type="cellIs" dxfId="72" priority="23" operator="between">
      <formula>$Y$8</formula>
      <formula>$Z$8</formula>
    </cfRule>
    <cfRule type="cellIs" dxfId="71" priority="24" operator="between">
      <formula>$Y$9</formula>
      <formula>$Z$9</formula>
    </cfRule>
    <cfRule type="cellIs" dxfId="70" priority="25" operator="between">
      <formula>$Y$10</formula>
      <formula>$Z$10</formula>
    </cfRule>
  </conditionalFormatting>
  <conditionalFormatting sqref="C170:D172">
    <cfRule type="cellIs" dxfId="69" priority="16" operator="between">
      <formula>$Y$6</formula>
      <formula>$Z$6</formula>
    </cfRule>
    <cfRule type="cellIs" dxfId="68" priority="17" operator="between">
      <formula>$Y$7</formula>
      <formula>$Z$7</formula>
    </cfRule>
    <cfRule type="cellIs" dxfId="67" priority="18" operator="between">
      <formula>$Y$8</formula>
      <formula>$Z$8</formula>
    </cfRule>
    <cfRule type="cellIs" dxfId="66" priority="19" operator="between">
      <formula>$Y$9</formula>
      <formula>$Z$9</formula>
    </cfRule>
    <cfRule type="cellIs" dxfId="65" priority="20" operator="between">
      <formula>$Y$10</formula>
      <formula>$Z$10</formula>
    </cfRule>
  </conditionalFormatting>
  <conditionalFormatting sqref="C176:D178">
    <cfRule type="cellIs" dxfId="64" priority="11" operator="between">
      <formula>$Y$6</formula>
      <formula>$Z$6</formula>
    </cfRule>
    <cfRule type="cellIs" dxfId="63" priority="12" operator="between">
      <formula>$Y$7</formula>
      <formula>$Z$7</formula>
    </cfRule>
    <cfRule type="cellIs" dxfId="62" priority="13" operator="between">
      <formula>$Y$8</formula>
      <formula>$Z$8</formula>
    </cfRule>
    <cfRule type="cellIs" dxfId="61" priority="14" operator="between">
      <formula>$Y$9</formula>
      <formula>$Z$9</formula>
    </cfRule>
    <cfRule type="cellIs" dxfId="60" priority="15" operator="between">
      <formula>$Y$10</formula>
      <formula>$Z$10</formula>
    </cfRule>
  </conditionalFormatting>
  <conditionalFormatting sqref="C182:D184">
    <cfRule type="cellIs" dxfId="59" priority="6" operator="between">
      <formula>$Y$6</formula>
      <formula>$Z$6</formula>
    </cfRule>
    <cfRule type="cellIs" dxfId="58" priority="7" operator="between">
      <formula>$Y$7</formula>
      <formula>$Z$7</formula>
    </cfRule>
    <cfRule type="cellIs" dxfId="57" priority="8" operator="between">
      <formula>$Y$8</formula>
      <formula>$Z$8</formula>
    </cfRule>
    <cfRule type="cellIs" dxfId="56" priority="9" operator="between">
      <formula>$Y$9</formula>
      <formula>$Z$9</formula>
    </cfRule>
    <cfRule type="cellIs" dxfId="55" priority="10" operator="between">
      <formula>$Y$10</formula>
      <formula>$Z$10</formula>
    </cfRule>
  </conditionalFormatting>
  <conditionalFormatting sqref="C188:D190">
    <cfRule type="cellIs" dxfId="54" priority="1" operator="between">
      <formula>$Y$6</formula>
      <formula>$Z$6</formula>
    </cfRule>
    <cfRule type="cellIs" dxfId="53" priority="2" operator="between">
      <formula>$Y$7</formula>
      <formula>$Z$7</formula>
    </cfRule>
    <cfRule type="cellIs" dxfId="52" priority="3" operator="between">
      <formula>$Y$8</formula>
      <formula>$Z$8</formula>
    </cfRule>
    <cfRule type="cellIs" dxfId="51" priority="4" operator="between">
      <formula>$Y$9</formula>
      <formula>$Z$9</formula>
    </cfRule>
    <cfRule type="cellIs" dxfId="50" priority="5" operator="between">
      <formula>$Y$10</formula>
      <formula>$Z$10</formula>
    </cfRule>
  </conditionalFormatting>
  <conditionalFormatting sqref="V8 V14 V20 V26 V32 V38 V44 V50 V56 V62 V68 V74 V80 V86 V92 V98 V104 V110 V116 V122">
    <cfRule type="cellIs" dxfId="49" priority="66" operator="between">
      <formula>$Y$6</formula>
      <formula>$Z$6</formula>
    </cfRule>
    <cfRule type="cellIs" dxfId="48" priority="67" operator="between">
      <formula>$Y$7</formula>
      <formula>$Z$7</formula>
    </cfRule>
    <cfRule type="cellIs" dxfId="47" priority="68" operator="between">
      <formula>$Y$8</formula>
      <formula>$Z$8</formula>
    </cfRule>
    <cfRule type="cellIs" dxfId="46" priority="69" operator="between">
      <formula>$Y$9</formula>
      <formula>$Z$9</formula>
    </cfRule>
    <cfRule type="cellIs" dxfId="45" priority="70" operator="between">
      <formula>$Y$10</formula>
      <formula>$Z$10</formula>
    </cfRule>
  </conditionalFormatting>
  <conditionalFormatting sqref="V128 V134 V140 V146 V152 V158 V164 V170 V176 V182 V188">
    <cfRule type="cellIs" dxfId="44" priority="56" operator="between">
      <formula>$Y$6</formula>
      <formula>$Z$6</formula>
    </cfRule>
    <cfRule type="cellIs" dxfId="43" priority="57" operator="between">
      <formula>$Y$7</formula>
      <formula>$Z$7</formula>
    </cfRule>
    <cfRule type="cellIs" dxfId="42" priority="58" operator="between">
      <formula>$Y$8</formula>
      <formula>$Z$8</formula>
    </cfRule>
    <cfRule type="cellIs" dxfId="41" priority="59" operator="between">
      <formula>$Y$9</formula>
      <formula>$Z$9</formula>
    </cfRule>
    <cfRule type="cellIs" dxfId="40" priority="60" operator="between">
      <formula>$Y$10</formula>
      <formula>$Z$10</formula>
    </cfRule>
  </conditionalFormatting>
  <dataValidations count="1">
    <dataValidation type="list" allowBlank="1" showInputMessage="1" showErrorMessage="1" sqref="P8">
      <formula1>$B$64:$B$69</formula1>
    </dataValidation>
  </dataValidations>
  <printOptions horizontalCentered="1" verticalCentered="1"/>
  <pageMargins left="0.78740157480314965" right="0.78740157480314965" top="0.78740157480314965" bottom="0.78740157480314965" header="0.39370078740157483" footer="0.39370078740157483"/>
  <pageSetup scale="40" orientation="landscape" r:id="rId1"/>
  <headerFooter alignWithMargins="0">
    <oddHeader>&amp;L
&amp;"Arial,Negrita"&amp;12MAPA DE RIESGOS &amp;"Arial,Normal"
Código: E-FO-017 | Versión: 13 | Fecha: Enero 29 de 2026&amp;C&amp;G</oddHeader>
    <oddFooter xml:space="preserve">&amp;L&amp;"Arial,Normal"&amp;12Teléfono: (+57) 601 601 2424 | Línea gratuita: 01 8000 41 37 95 | Código postal: 110221
Dirección: Carrera 10 No. 97A - 13, Torre A, Piso 6 | Bogotá D.C., Colombia 
www.apccolombia.gov.co
Página: &amp;P/&amp;N&amp;"-,Normal"&amp;11
</oddFooter>
  </headerFooter>
  <rowBreaks count="15" manualBreakCount="15">
    <brk id="13" max="16383" man="1"/>
    <brk id="25" max="16383" man="1"/>
    <brk id="37" max="16383" man="1"/>
    <brk id="49" max="16383" man="1"/>
    <brk id="61" max="16383" man="1"/>
    <brk id="73" max="16383" man="1"/>
    <brk id="85" max="16383" man="1"/>
    <brk id="97" max="16383" man="1"/>
    <brk id="109" max="16383" man="1"/>
    <brk id="121" max="16383" man="1"/>
    <brk id="133" max="16383" man="1"/>
    <brk id="145" max="16383" man="1"/>
    <brk id="157" max="16383" man="1"/>
    <brk id="169" max="16383" man="1"/>
    <brk id="181" max="16383" man="1"/>
  </rowBreaks>
  <legacyDrawing r:id="rId2"/>
  <legacyDrawingHF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'11 FORMULAS'!$B$53</xm:f>
          </x14:formula1>
          <xm:sqref>J8:J127</xm:sqref>
        </x14:dataValidation>
        <x14:dataValidation type="list" allowBlank="1" showInputMessage="1" showErrorMessage="1">
          <x14:formula1>
            <xm:f>'11 FORMULAS'!$B$64:$B$69</xm:f>
          </x14:formula1>
          <xm:sqref>P9:P193</xm:sqref>
        </x14:dataValidation>
        <x14:dataValidation type="list" allowBlank="1" showInputMessage="1" showErrorMessage="1">
          <x14:formula1>
            <xm:f>'11 FORMULAS'!$B$73:$B$75</xm:f>
          </x14:formula1>
          <xm:sqref>R8:R193</xm:sqref>
        </x14:dataValidation>
        <x14:dataValidation type="list" allowBlank="1" showInputMessage="1" showErrorMessage="1">
          <x14:formula1>
            <xm:f>'11 FORMULAS'!$B$70:$B$72</xm:f>
          </x14:formula1>
          <xm:sqref>Q8:Q193</xm:sqref>
        </x14:dataValidation>
        <x14:dataValidation type="list" allowBlank="1" showInputMessage="1" showErrorMessage="1">
          <x14:formula1>
            <xm:f>'11 FORMULAS'!$B$60:$B$63</xm:f>
          </x14:formula1>
          <xm:sqref>O8:O193</xm:sqref>
        </x14:dataValidation>
        <x14:dataValidation type="list" allowBlank="1" showInputMessage="1" showErrorMessage="1">
          <x14:formula1>
            <xm:f>'11 FORMULAS'!$B$54:$B$55</xm:f>
          </x14:formula1>
          <xm:sqref>M8:M193</xm:sqref>
        </x14:dataValidation>
        <x14:dataValidation type="list" allowBlank="1" showInputMessage="1" showErrorMessage="1">
          <x14:formula1>
            <xm:f>'11 FORMULAS'!$B$51:$B$52</xm:f>
          </x14:formula1>
          <xm:sqref>J128:J193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39"/>
  <sheetViews>
    <sheetView showGridLines="0" topLeftCell="A4" zoomScale="55" zoomScaleNormal="55" workbookViewId="0">
      <selection activeCell="F4" sqref="F4"/>
    </sheetView>
  </sheetViews>
  <sheetFormatPr baseColWidth="10" defaultColWidth="14.42578125" defaultRowHeight="51" customHeight="1" x14ac:dyDescent="0.25"/>
  <cols>
    <col min="1" max="1" width="11.42578125" style="81" customWidth="1"/>
    <col min="2" max="2" width="30.42578125" style="81" customWidth="1"/>
    <col min="3" max="3" width="15.28515625" style="81" customWidth="1"/>
    <col min="4" max="4" width="13" style="81" customWidth="1"/>
    <col min="5" max="5" width="17.5703125" style="81" customWidth="1"/>
    <col min="6" max="6" width="18.140625" style="81" customWidth="1"/>
    <col min="7" max="7" width="20.28515625" style="81" customWidth="1"/>
    <col min="8" max="8" width="11.42578125" style="81" bestFit="1" customWidth="1"/>
    <col min="9" max="9" width="7.42578125" style="81" customWidth="1"/>
    <col min="10" max="10" width="14" style="81" customWidth="1"/>
    <col min="11" max="15" width="13.42578125" style="81" customWidth="1"/>
    <col min="16" max="16" width="3.85546875" style="81" customWidth="1"/>
    <col min="17" max="17" width="4.85546875" style="81" customWidth="1"/>
    <col min="18" max="18" width="5.85546875" style="81" customWidth="1"/>
    <col min="19" max="19" width="14" style="81" customWidth="1"/>
    <col min="20" max="24" width="13.42578125" style="81" customWidth="1"/>
    <col min="25" max="29" width="11.42578125" style="81" customWidth="1"/>
    <col min="30" max="30" width="5.42578125" style="81" customWidth="1"/>
    <col min="31" max="31" width="26.85546875" style="81" customWidth="1"/>
    <col min="32" max="36" width="22.85546875" style="81" customWidth="1"/>
    <col min="37" max="37" width="23.42578125" style="81" customWidth="1"/>
    <col min="38" max="265" width="11.42578125" style="81" customWidth="1"/>
    <col min="266" max="266" width="12.42578125" style="81" customWidth="1"/>
    <col min="267" max="267" width="47" style="81" customWidth="1"/>
    <col min="268" max="268" width="35" style="81" customWidth="1"/>
    <col min="269" max="16383" width="14.42578125" style="81"/>
    <col min="16384" max="16384" width="14.42578125" style="81" hidden="1" customWidth="1"/>
  </cols>
  <sheetData>
    <row r="1" spans="1:38" s="84" customFormat="1" ht="60" x14ac:dyDescent="0.25">
      <c r="A1" s="77"/>
      <c r="B1" s="53" t="str">
        <f>+'2 CONTEXTO E IDENTIFICACIÓN'!A1</f>
        <v>MAPA DE RIESGOS</v>
      </c>
      <c r="C1" s="78"/>
      <c r="D1" s="79"/>
      <c r="F1" s="194"/>
      <c r="G1" s="195" t="str">
        <f>+'2 CONTEXTO E IDENTIFICACIÓN'!$I$4</f>
        <v>Elaboración o Actualización:</v>
      </c>
      <c r="H1" s="86">
        <f>'2 CONTEXTO E IDENTIFICACIÓN'!J4</f>
        <v>0</v>
      </c>
      <c r="I1" s="80"/>
      <c r="J1" s="80"/>
    </row>
    <row r="2" spans="1:38" s="84" customFormat="1" ht="15.75" x14ac:dyDescent="0.25">
      <c r="A2" s="77"/>
      <c r="B2" s="53"/>
      <c r="C2" s="83" t="str">
        <f>+'2 CONTEXTO E IDENTIFICACIÓN'!A2</f>
        <v>VERSIÓN:</v>
      </c>
      <c r="D2" s="83">
        <f>'2 CONTEXTO E IDENTIFICACIÓN'!B2</f>
        <v>1</v>
      </c>
      <c r="G2" s="83" t="str">
        <f>+'2 CONTEXTO E IDENTIFICACIÓN'!$E$5</f>
        <v xml:space="preserve">Vigencia: </v>
      </c>
      <c r="H2" s="86">
        <f>'2 CONTEXTO E IDENTIFICACIÓN'!G5</f>
        <v>46023</v>
      </c>
      <c r="I2" s="94" t="s">
        <v>61</v>
      </c>
      <c r="J2" s="86">
        <f>'2 CONTEXTO E IDENTIFICACIÓN'!J5</f>
        <v>46387</v>
      </c>
      <c r="K2" s="54"/>
      <c r="L2" s="54"/>
      <c r="M2" s="54"/>
      <c r="N2" s="54"/>
      <c r="O2" s="54"/>
      <c r="P2" s="54"/>
    </row>
    <row r="3" spans="1:38" s="84" customFormat="1" ht="51" customHeight="1" x14ac:dyDescent="0.25">
      <c r="B3" s="54"/>
      <c r="C3" s="87"/>
      <c r="D3" s="87"/>
      <c r="F3" s="87"/>
      <c r="G3" s="87"/>
      <c r="H3" s="89"/>
      <c r="I3" s="300"/>
      <c r="J3" s="89"/>
      <c r="K3" s="54"/>
      <c r="L3" s="54"/>
      <c r="M3" s="54"/>
      <c r="N3" s="54"/>
      <c r="O3" s="54"/>
      <c r="P3" s="54"/>
    </row>
    <row r="4" spans="1:38" s="84" customFormat="1" ht="51" customHeight="1" x14ac:dyDescent="0.25">
      <c r="A4" s="90" t="s">
        <v>55</v>
      </c>
      <c r="B4" s="95" t="str">
        <f>'2 CONTEXTO E IDENTIFICACIÓN'!B4</f>
        <v>AGENCIA PRESIDENCIAL DE COOPERACIÓN INTERNACIONAL DE COLOMBIA APC COLOMBIA</v>
      </c>
      <c r="C4" s="95"/>
      <c r="D4" s="95"/>
      <c r="E4" s="99"/>
      <c r="F4" s="54"/>
    </row>
    <row r="5" spans="1:38" s="84" customFormat="1" ht="51" customHeight="1" thickBot="1" x14ac:dyDescent="0.3">
      <c r="A5" s="90" t="s">
        <v>57</v>
      </c>
      <c r="B5" s="95">
        <f>'2 CONTEXTO E IDENTIFICACIÓN'!F4</f>
        <v>0</v>
      </c>
      <c r="C5" s="96"/>
      <c r="D5" s="96"/>
      <c r="E5" s="99"/>
      <c r="F5" s="54"/>
      <c r="K5" s="301"/>
      <c r="L5" s="301"/>
      <c r="M5" s="301"/>
      <c r="N5" s="301"/>
      <c r="O5" s="301"/>
      <c r="P5" s="301"/>
      <c r="Q5" s="301"/>
      <c r="R5" s="301"/>
      <c r="S5" s="301"/>
      <c r="T5" s="301"/>
      <c r="U5" s="301"/>
      <c r="V5" s="301"/>
    </row>
    <row r="6" spans="1:38" s="84" customFormat="1" ht="51" customHeight="1" thickBot="1" x14ac:dyDescent="0.3">
      <c r="D6" s="54"/>
      <c r="E6" s="87"/>
      <c r="F6" s="54"/>
      <c r="I6" s="302" t="s">
        <v>459</v>
      </c>
      <c r="J6" s="303"/>
      <c r="K6" s="303"/>
      <c r="L6" s="303"/>
      <c r="M6" s="303"/>
      <c r="N6" s="303"/>
      <c r="O6" s="304"/>
      <c r="R6" s="305"/>
      <c r="S6" s="306"/>
      <c r="T6" s="307" t="s">
        <v>224</v>
      </c>
      <c r="U6" s="308"/>
      <c r="V6" s="308"/>
      <c r="W6" s="308"/>
      <c r="X6" s="309"/>
    </row>
    <row r="7" spans="1:38" ht="51" customHeight="1" x14ac:dyDescent="0.25">
      <c r="A7" s="108"/>
      <c r="B7" s="108"/>
      <c r="C7" s="108"/>
      <c r="D7" s="108"/>
      <c r="E7" s="170" t="s">
        <v>460</v>
      </c>
      <c r="F7" s="170"/>
      <c r="G7" s="170"/>
      <c r="H7" s="108"/>
      <c r="I7" s="310"/>
      <c r="J7" s="311"/>
      <c r="K7" s="312" t="s">
        <v>224</v>
      </c>
      <c r="L7" s="312"/>
      <c r="M7" s="312"/>
      <c r="N7" s="312"/>
      <c r="O7" s="313"/>
      <c r="P7" s="108"/>
      <c r="R7" s="314"/>
      <c r="T7" s="315">
        <v>0.2</v>
      </c>
      <c r="U7" s="315">
        <v>0.4</v>
      </c>
      <c r="V7" s="315">
        <v>0.6</v>
      </c>
      <c r="W7" s="315">
        <v>0.8</v>
      </c>
      <c r="X7" s="316">
        <v>1</v>
      </c>
      <c r="Y7" s="317"/>
      <c r="Z7" s="317"/>
      <c r="AA7" s="317"/>
      <c r="AB7" s="317"/>
      <c r="AC7" s="317"/>
      <c r="AD7" s="317"/>
      <c r="AE7" s="317"/>
    </row>
    <row r="8" spans="1:38" ht="51" customHeight="1" x14ac:dyDescent="0.25">
      <c r="A8" s="90" t="s">
        <v>306</v>
      </c>
      <c r="B8" s="90" t="s">
        <v>352</v>
      </c>
      <c r="C8" s="90" t="s">
        <v>461</v>
      </c>
      <c r="D8" s="90" t="s">
        <v>462</v>
      </c>
      <c r="E8" s="90" t="s">
        <v>205</v>
      </c>
      <c r="F8" s="90" t="s">
        <v>224</v>
      </c>
      <c r="G8" s="90" t="s">
        <v>463</v>
      </c>
      <c r="H8" s="108"/>
      <c r="I8" s="314"/>
      <c r="J8" s="90"/>
      <c r="K8" s="318" t="s">
        <v>323</v>
      </c>
      <c r="L8" s="318" t="s">
        <v>328</v>
      </c>
      <c r="M8" s="318" t="s">
        <v>332</v>
      </c>
      <c r="N8" s="318" t="s">
        <v>336</v>
      </c>
      <c r="O8" s="319" t="s">
        <v>341</v>
      </c>
      <c r="P8" s="108"/>
      <c r="R8" s="314"/>
      <c r="S8" s="172"/>
      <c r="T8" s="320" t="s">
        <v>323</v>
      </c>
      <c r="U8" s="320" t="s">
        <v>328</v>
      </c>
      <c r="V8" s="320" t="s">
        <v>332</v>
      </c>
      <c r="W8" s="320" t="s">
        <v>336</v>
      </c>
      <c r="X8" s="321" t="s">
        <v>341</v>
      </c>
      <c r="AA8" s="317"/>
      <c r="AB8" s="317"/>
      <c r="AC8" s="322"/>
      <c r="AD8" s="322"/>
      <c r="AE8" s="322"/>
      <c r="AF8" s="322"/>
      <c r="AG8" s="322"/>
      <c r="AH8" s="322"/>
      <c r="AI8" s="322"/>
      <c r="AJ8" s="322"/>
      <c r="AK8" s="322"/>
      <c r="AL8" s="322"/>
    </row>
    <row r="9" spans="1:38" ht="51" customHeight="1" x14ac:dyDescent="0.25">
      <c r="A9" s="118" t="str">
        <f>'2 CONTEXTO E IDENTIFICACIÓN'!A9</f>
        <v>R1</v>
      </c>
      <c r="B9" s="172" t="str">
        <f>+'2 CONTEXTO E IDENTIFICACIÓN'!J9</f>
        <v>Posibilidad de afectación reputacional por queja, reclamo o llamado de atención interno o externo. a causa de debido a un seguimiento inoportuno a la planeación institucional.</v>
      </c>
      <c r="C9" s="323">
        <f>+'5 VALORACIÓN CONTROL PROBAB.'!V8</f>
        <v>0.216</v>
      </c>
      <c r="D9" s="324">
        <f>+'5 VALORACIÓN CONTROL IMPACTO'!V8</f>
        <v>0.6</v>
      </c>
      <c r="E9" s="324" t="str">
        <f t="shared" ref="E9:E28" si="0">+IF(C9=0,"",IF(C9&lt;=$R$13,$S$13,IF(C9&lt;=$R$12,$S$12,IF(C9&lt;=$R$11,$S$11,IF(C9&lt;=$R$10,$S$10,IF(C9&lt;=$R$9,$S$9,""))))))</f>
        <v>Baja</v>
      </c>
      <c r="F9" s="324" t="str">
        <f t="shared" ref="F9:F28" si="1">+IF(D9=0,"",IF(D9&lt;=$T$7,$T$8,IF(D9&lt;=$U$7,$U$8,IF(D9&lt;=$V$7,$V$8,IF(D9&lt;=$W$7,$W$8,IF(D9&lt;=$X$7,$X$8,""))))))</f>
        <v>Moderado</v>
      </c>
      <c r="G9" s="172"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I9" s="325" t="s">
        <v>205</v>
      </c>
      <c r="J9" s="318" t="s">
        <v>339</v>
      </c>
      <c r="K9" s="326"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"&amp;IF(AND(E28=$S$9,F28=$T$8),A28,"")&amp;" "&amp;IF(AND(E29=$S$9,F29=$T$8),A29,"")&amp;" "&amp;IF(AND(E30=$S$9,F30=$T$8),A30,"")&amp;" "&amp;IF(AND(E31=$S$9,F31=$T$8),A31,"")&amp;" "&amp;IF(AND(E32=$S$9,F32=$T$8),A32,"")&amp;" "&amp;IF(AND(E33=$S$9,F33=$T$8),A33,"")&amp;" "&amp;IF(AND(E34=$S$9,F34=$T$8),A34,"")&amp;" "&amp;IF(AND(E35=$S$9,F35=$T$8),A35,"")&amp;" "&amp;IF(AND(E36=$S$9,F36=$T$8),A36,"")&amp;" "&amp;IF(AND(E37=$S$9,F37=$T$8),A37,"")&amp;" "&amp;IF(AND(E38=$S$9,F38=$T$8),A38,"")&amp;" "&amp;IF(AND(E39=$S$9,F39=$T$8),A39,"")</f>
        <v xml:space="preserve">                              </v>
      </c>
      <c r="L9" s="326"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"&amp;IF(AND(E28=$S$9,F28=$U$8),A28,"")&amp;" "&amp;IF(AND(E29=$S$9,F29=$U$8),A29,"")&amp;" "&amp;IF(AND(E30=$S$9,F30=$U$8),A30,"")&amp;" "&amp;IF(AND(E31=$S$9,F31=$U$8),A31,"")&amp;" "&amp;IF(AND(E32=$S$9,F32=$U$8),A32,"")&amp;" "&amp;IF(AND(E33=$S$9,F33=$U$8),A33,"")&amp;" "&amp;IF(AND(E34=$S$9,F34=$U$8),A34,"")&amp;" "&amp;IF(AND(E35=$S$9,F35=$U$8),A35,"")&amp;" "&amp;IF(AND(E36=$S$9,F36=$U$8),A36,"")&amp;" "&amp;IF(AND(E37=$S$9,F37=$U$8),A37,"")&amp;" "&amp;IF(AND(E38=$S$9,F38=$U$8),A38,"")&amp;" "&amp;IF(AND(E39=$S$9,F39=$U$8),A39,"")</f>
        <v xml:space="preserve">                              </v>
      </c>
      <c r="M9" s="326"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"&amp;IF(AND(E28=$S$9,F28=$V$8),A28,"")&amp;" "&amp;IF(AND(E29=$S$9,F29=$V$8),A29,"")&amp;" "&amp;IF(AND(E30=$S$9,F30=$V$8),A30,"")&amp;" "&amp;IF(AND(E31=$S$9,F31=$V$8),A31,"")&amp;" "&amp;IF(AND(E32=$S$9,F32=$V$8),A32,"")&amp;" "&amp;IF(AND(E33=$S$9,F33=$V$8),A33,"")&amp;" "&amp;IF(AND(E34=$S$9,F34=$V$8),A34,"")&amp;" "&amp;IF(AND(E35=$S$9,F35=$V$8),A35,"")&amp;" "&amp;IF(AND(E36=$S$9,F36=$V$8),A36,"")&amp;" "&amp;IF(AND(E37=$S$9,F37=$V$8),A37,"")&amp;" "&amp;IF(AND(E38=$S$9,F38=$V$8),A38,"")&amp;" "&amp;IF(AND(E39=$S$9,F39=$V$8),A39,"")</f>
        <v xml:space="preserve">                              </v>
      </c>
      <c r="N9" s="326"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"&amp;IF(AND(E28=$S$9,F28=$W$8),A28,"")&amp;" "&amp;IF(AND(E29=$S$9,F29=$W$8),A29,"")&amp;" "&amp;IF(AND(E30=$S$9,F30=$W$8),A30,"")&amp;" "&amp;IF(AND(E31=$S$9,F31=$W$8),A31,"")&amp;" "&amp;IF(AND(E32=$S$9,F32=$W$8),A32,"")&amp;" "&amp;IF(AND(E33=$S$9,F33=$W$8),A33,"")&amp;" "&amp;IF(AND(E34=$S$9,F34=$W$8),A34,"")&amp;" "&amp;IF(AND(E35=$S$9,F35=$W$8),A35,"")&amp;" "&amp;IF(AND(E36=$S$9,F36=$W$8),A36,"")&amp;" "&amp;IF(AND(E37=$S$9,F37=$W$8),A37,"")&amp;" "&amp;IF(AND(E38=$S$9,F38=$W$8),A38,"")&amp;" "&amp;IF(AND(E39=$S$9,F39=$W$8),A39,"")</f>
        <v xml:space="preserve">                              </v>
      </c>
      <c r="O9" s="327"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"&amp;IF(AND(E28=$S$9,F28=$X$8),A28,"")&amp;" "&amp;IF(AND(E29=$S$9,F29=$X$8),A29,"")&amp;" "&amp;IF(AND(E30=$S$9,F30=$X$8),A30,"")&amp;" "&amp;IF(AND(E31=$S$9,F31=$X$8),A31,"")&amp;" "&amp;IF(AND(E32=$S$9,F32=$X$8),A32,"")&amp;" "&amp;IF(AND(E33=$S$9,F33=$X$8),A33,"")&amp;" "&amp;IF(AND(E34=$S$9,F34=$X$8),A34,"")&amp;" "&amp;IF(AND(E35=$S$9,F35=$X$8),A35,"")&amp;" "&amp;IF(AND(E36=$S$9,F36=$X$8),A36,"")&amp;" "&amp;IF(AND(E37=$S$9,F37=$X$8),A37,"")&amp;" "&amp;IF(AND(E38=$S$9,F38=$X$8),A38,"")&amp;" "&amp;IF(AND(E39=$S$9,F39=$X$8),A39,"")</f>
        <v xml:space="preserve">                              </v>
      </c>
      <c r="Q9" s="328" t="s">
        <v>205</v>
      </c>
      <c r="R9" s="329">
        <v>1</v>
      </c>
      <c r="S9" s="320" t="s">
        <v>339</v>
      </c>
      <c r="T9" s="326" t="s">
        <v>354</v>
      </c>
      <c r="U9" s="326" t="s">
        <v>354</v>
      </c>
      <c r="V9" s="326" t="s">
        <v>354</v>
      </c>
      <c r="W9" s="326" t="s">
        <v>354</v>
      </c>
      <c r="X9" s="327" t="s">
        <v>355</v>
      </c>
      <c r="AA9" s="317"/>
      <c r="AB9" s="317"/>
      <c r="AC9" s="322"/>
      <c r="AD9" s="322"/>
      <c r="AE9" s="322"/>
      <c r="AF9" s="322"/>
      <c r="AG9" s="322"/>
      <c r="AH9" s="322"/>
      <c r="AI9" s="322"/>
      <c r="AJ9" s="322"/>
      <c r="AK9" s="322"/>
      <c r="AL9" s="322"/>
    </row>
    <row r="10" spans="1:38" ht="51" customHeight="1" x14ac:dyDescent="0.25">
      <c r="A10" s="118" t="str">
        <f>'2 CONTEXTO E IDENTIFICACIÓN'!A10</f>
        <v>R2</v>
      </c>
      <c r="B10" s="172" t="str">
        <f>+'2 CONTEXTO E IDENTIFICACIÓN'!J10</f>
        <v>Posibilidad  de efecto dañoso sobre el recurso público por    la generación de intereses moratorios en las planillas de seguridad social a causa de     no reporte de novedades dentro de los plazos establecidos</v>
      </c>
      <c r="C10" s="323">
        <f>'5 VALORACIÓN CONTROL PROBAB.'!C14</f>
        <v>0.4</v>
      </c>
      <c r="D10" s="324">
        <f>'5 VALORACIÓN CONTROL PROBAB.'!V14</f>
        <v>0.14399999999999999</v>
      </c>
      <c r="E10" s="324" t="str">
        <f t="shared" si="0"/>
        <v>Baja</v>
      </c>
      <c r="F10" s="324" t="str">
        <f t="shared" si="1"/>
        <v>Leve</v>
      </c>
      <c r="G10" s="172" t="str">
        <f t="shared" si="2"/>
        <v>Bajo</v>
      </c>
      <c r="I10" s="325"/>
      <c r="J10" s="318" t="s">
        <v>334</v>
      </c>
      <c r="K10" s="330"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"&amp;IF(AND(E28=$S$10,F28=$T$8),A28,"")&amp;" "&amp;IF(AND(E29=$S$10,F29=$T$8),A29,"")&amp;" "&amp;IF(AND(E30=$S$10,F30=$T$8),A30,"")&amp;" "&amp;IF(AND(E31=$S$10,F31=$T$8),A31,"")&amp;" "&amp;IF(AND(E32=$S$10,F32=$T$8),A32,"")&amp;" "&amp;IF(AND(E33=$S$10,F33=$T$8),A33,"")&amp;" "&amp;IF(AND(E34=$S$10,F34=$T$8),A34,"")&amp;" "&amp;IF(AND(E35=$S$10,F35=$T$8),A35,"")&amp;" "&amp;IF(AND(E36=$S$10,F36=$T$8),A36,"")&amp;" "&amp;IF(AND(E37=$S$10,F37=$T$8),A37,"")&amp;" "&amp;IF(AND(E38=$S$10,F38=$T$8),A38,"")&amp;" "&amp;IF(AND(E39=$S$10,F39=$T$8),A39,"")</f>
        <v xml:space="preserve">                              </v>
      </c>
      <c r="L10" s="330"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"&amp;IF(AND(E28=$S$10,F28=$U$8),A28,"")&amp;" "&amp;IF(AND(E29=$S$10,F29=$U$8),A29,"")&amp;" "&amp;IF(AND(E30=$S$10,F30=$U$8),A30,"")&amp;" "&amp;IF(AND(E31=$S$10,F31=$U$8),A31,"")&amp;" "&amp;IF(AND(E32=$S$10,F32=$U$8),A32,"")&amp;" "&amp;IF(AND(E33=$S$10,F33=$U$8),A33,"")&amp;" "&amp;IF(AND(E34=$S$10,F34=$U$8),A34,"")&amp;" "&amp;IF(AND(E35=$S$10,F35=$U$8),A35,"")&amp;" "&amp;IF(AND(E36=$S$10,F36=$U$8),A36,"")&amp;" "&amp;IF(AND(E37=$S$10,F37=$U$8),A37,"")&amp;" "&amp;IF(AND(E38=$S$10,F38=$U$8),A38,"")&amp;" "&amp;IF(AND(E39=$S$10,F39=$U$8),A39,"")</f>
        <v xml:space="preserve">                              </v>
      </c>
      <c r="M10" s="326"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"&amp;IF(AND(E28=$S$10,F28=$V$8),A28,"")&amp;" "&amp;IF(AND(E29=$S$10,F29=$V$8),A29,"")&amp;" "&amp;IF(AND(E30=$S$10,F30=$V$8),A30,"")&amp;" "&amp;IF(AND(E31=$S$10,F31=$V$8),A31,"")&amp;" "&amp;IF(AND(E32=$S$10,F32=$V$8),A32,"")&amp;" "&amp;IF(AND(E33=$S$10,F33=$V$8),A33,"")&amp;" "&amp;IF(AND(E34=$S$10,F34=$V$8),A34,"")&amp;" "&amp;IF(AND(E35=$S$10,F35=$V$8),A35,"")&amp;" "&amp;IF(AND(E36=$S$10,F36=$V$8),A36,"")&amp;" "&amp;IF(AND(E37=$S$10,F37=$V$8),A37,"")&amp;" "&amp;IF(AND(E38=$S$10,F38=$V$8),A38,"")&amp;" "&amp;IF(AND(E39=$S$10,F39=$V$8),A39,"")</f>
        <v xml:space="preserve">              R15                </v>
      </c>
      <c r="N10" s="326"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"&amp;IF(AND(E28=$S$10,F28=$W$8),A28,"")&amp;" "&amp;IF(AND(E29=$S$10,F29=$W$8),A29,"")&amp;" "&amp;IF(AND(E30=$S$10,F30=$W$8),A30,"")&amp;" "&amp;IF(AND(E31=$S$10,F31=$W$8),A31,"")&amp;" "&amp;IF(AND(E32=$S$10,F32=$W$8),A32,"")&amp;" "&amp;IF(AND(E33=$S$10,F33=$W$8),A33,"")&amp;" "&amp;IF(AND(E34=$S$10,F34=$W$8),A34,"")&amp;" "&amp;IF(AND(E35=$S$10,F35=$W$8),A35,"")&amp;" "&amp;IF(AND(E36=$S$10,F36=$W$8),A36,"")&amp;" "&amp;IF(AND(E37=$S$10,F37=$W$8),A37,"")&amp;" "&amp;IF(AND(E38=$S$10,F38=$W$8),A38,"")&amp;" "&amp;IF(AND(E39=$S$10,F39=$W$8),A39,"")</f>
        <v xml:space="preserve">                              </v>
      </c>
      <c r="O10" s="327"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"&amp;IF(AND(E28=$S$10,F28=$X$8),A28,"")&amp;" "&amp;IF(AND(E29=$S$10,F29=$X$8),A29,"")&amp;" "&amp;IF(AND(E30=$S$10,F30=$X$8),A30,"")&amp;" "&amp;IF(AND(E31=$S$10,F31=$X$8),A31,"")&amp;" "&amp;IF(AND(E32=$S$10,F32=$X$8),A32,"")&amp;" "&amp;IF(AND(E33=$S$10,F33=$X$8),A33,"")&amp;" "&amp;IF(AND(E34=$S$10,F34=$X$8),A34,"")&amp;" "&amp;IF(AND(E35=$S$10,F35=$X$8),A35,"")&amp;" "&amp;IF(AND(E36=$S$10,F36=$X$8),A36,"")&amp;" "&amp;IF(AND(E37=$S$10,F37=$X$8),A37,"")&amp;" "&amp;IF(AND(E38=$S$10,F38=$X$8),A38,"")&amp;" "&amp;IF(AND(E39=$S$10,F39=$X$8),A39,"")</f>
        <v xml:space="preserve">                              </v>
      </c>
      <c r="Q10" s="331"/>
      <c r="R10" s="329">
        <v>0.8</v>
      </c>
      <c r="S10" s="320" t="s">
        <v>334</v>
      </c>
      <c r="T10" s="330" t="s">
        <v>332</v>
      </c>
      <c r="U10" s="330" t="s">
        <v>332</v>
      </c>
      <c r="V10" s="326" t="s">
        <v>354</v>
      </c>
      <c r="W10" s="326" t="s">
        <v>354</v>
      </c>
      <c r="X10" s="327" t="s">
        <v>355</v>
      </c>
      <c r="AA10" s="317"/>
      <c r="AB10" s="317"/>
      <c r="AC10" s="322"/>
      <c r="AD10" s="332"/>
      <c r="AE10" s="333"/>
      <c r="AF10" s="322"/>
      <c r="AG10" s="322"/>
      <c r="AH10" s="322"/>
      <c r="AI10" s="322"/>
      <c r="AJ10" s="322"/>
      <c r="AK10" s="322"/>
      <c r="AL10" s="322"/>
    </row>
    <row r="11" spans="1:38" ht="51" customHeight="1" x14ac:dyDescent="0.25">
      <c r="A11" s="118" t="str">
        <f>'2 CONTEXTO E IDENTIFICACIÓN'!A11</f>
        <v>R3</v>
      </c>
      <c r="B11" s="172" t="str">
        <f>+'2 CONTEXTO E IDENTIFICACIÓN'!J11</f>
        <v>Posibilidad de afectación económica y reputacional por  un retraso en la adquisición de bienes y/o servicios requeridos para el normal funcionamiento de la Entidad, e incumplimiento de las funciones u objetivos previstos con la adquisición de estos bienes, servicios y obras. a causa de desconocimiento u omisión de la normatividad, para beneficiar a un oferente</v>
      </c>
      <c r="C11" s="323">
        <f>'5 VALORACIÓN CONTROL PROBAB.'!C20</f>
        <v>0.6</v>
      </c>
      <c r="D11" s="324">
        <f>'5 VALORACIÓN CONTROL PROBAB.'!V20</f>
        <v>4.6655999999999996E-2</v>
      </c>
      <c r="E11" s="324" t="str">
        <f t="shared" si="0"/>
        <v>Media</v>
      </c>
      <c r="F11" s="324" t="str">
        <f t="shared" si="1"/>
        <v>Leve</v>
      </c>
      <c r="G11" s="172" t="str">
        <f t="shared" si="2"/>
        <v>Moderado</v>
      </c>
      <c r="I11" s="325"/>
      <c r="J11" s="318" t="s">
        <v>330</v>
      </c>
      <c r="K11" s="330"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"&amp;IF(AND(E28=$S$11,F28=$T$8),A28,"")&amp;" "&amp;IF(AND(E29=$S$11,F29=$T$8),A29,"")&amp;" "&amp;IF(AND(E30=$S$11,F30=$T$8),A30,"")&amp;" "&amp;IF(AND(E31=$S$11,F31=$T$8),A31,"")&amp;" "&amp;IF(AND(E32=$S$11,F32=$T$8),A32,"")&amp;" "&amp;IF(AND(E33=$S$11,F33=$T$8),A33,"")&amp;" "&amp;IF(AND(E34=$S$11,F34=$T$8),A34,"")&amp;" "&amp;IF(AND(E35=$S$11,F35=$T$8),A35,"")&amp;" "&amp;IF(AND(E36=$S$11,F36=$T$8),A36,"")&amp;" "&amp;IF(AND(E37=$S$11,F37=$T$8),A37,"")&amp;" "&amp;IF(AND(E38=$S$11,F38=$T$8),A38,"")&amp;" "&amp;IF(AND(E39=$S$11,F39=$T$8),A39,"")</f>
        <v xml:space="preserve">  R3                   R22  R24       </v>
      </c>
      <c r="L11" s="330"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"&amp;IF(AND(E28=$S$11,F28=$U$8),A28,"")&amp;" "&amp;IF(AND(E29=$S$11,F29=$U$8),A29,"")&amp;" "&amp;IF(AND(E30=$S$11,F30=$U$8),A30,"")&amp;" "&amp;IF(AND(E31=$S$11,F31=$U$8),A31,"")&amp;" "&amp;IF(AND(E32=$S$11,F32=$U$8),A32,"")&amp;" "&amp;IF(AND(E33=$S$11,F33=$U$8),A33,"")&amp;" "&amp;IF(AND(E34=$S$11,F34=$U$8),A34,"")&amp;" "&amp;IF(AND(E35=$S$11,F35=$U$8),A35,"")&amp;" "&amp;IF(AND(E36=$S$11,F36=$U$8),A36,"")&amp;" "&amp;IF(AND(E37=$S$11,F37=$U$8),A37,"")&amp;" "&amp;IF(AND(E38=$S$11,F38=$U$8),A38,"")&amp;" "&amp;IF(AND(E39=$S$11,F39=$U$8),A39,"")</f>
        <v xml:space="preserve">   R4 R5 R6  R8    R12 R13 R14     R19  R21      R27 R28   </v>
      </c>
      <c r="M11" s="330"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"&amp;IF(AND(E28=$S$11,F28=$V$8),A28,"")&amp;" "&amp;IF(AND(E29=$S$11,F29=$V$8),A29,"")&amp;" "&amp;IF(AND(E30=$S$11,F30=$V$8),A30,"")&amp;" "&amp;IF(AND(E31=$S$11,F31=$V$8),A31,"")&amp;" "&amp;IF(AND(E32=$S$11,F32=$V$8),A32,"")&amp;" "&amp;IF(AND(E33=$S$11,F33=$V$8),A33,"")&amp;" "&amp;IF(AND(E34=$S$11,F34=$V$8),A34,"")&amp;" "&amp;IF(AND(E35=$S$11,F35=$V$8),A35,"")&amp;" "&amp;IF(AND(E36=$S$11,F36=$V$8),A36,"")&amp;" "&amp;IF(AND(E37=$S$11,F37=$V$8),A37,"")&amp;" "&amp;IF(AND(E38=$S$11,F38=$V$8),A38,"")&amp;" "&amp;IF(AND(E39=$S$11,F39=$V$8),A39,"")</f>
        <v xml:space="preserve">                              </v>
      </c>
      <c r="N11" s="326"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"&amp;IF(AND(E28=$S$11,F28=$W$8),A28,"")&amp;" "&amp;IF(AND(E29=$S$11,F29=$W$8),A29,"")&amp;" "&amp;IF(AND(E30=$S$11,F30=$W$8),A30,"")&amp;" "&amp;IF(AND(E31=$S$11,F31=$W$8),A31,"")&amp;" "&amp;IF(AND(E32=$S$11,F32=$W$8),A32,"")&amp;" "&amp;IF(AND(E33=$S$11,F33=$W$8),A33,"")&amp;" "&amp;IF(AND(E34=$S$11,F34=$W$8),A34,"")&amp;" "&amp;IF(AND(E35=$S$11,F35=$W$8),A35,"")&amp;" "&amp;IF(AND(E36=$S$11,F36=$W$8),A36,"")&amp;" "&amp;IF(AND(E37=$S$11,F37=$W$8),A37,"")&amp;" "&amp;IF(AND(E38=$S$11,F38=$W$8),A38,"")&amp;" "&amp;IF(AND(E39=$S$11,F39=$W$8),A39,"")</f>
        <v xml:space="preserve">                              </v>
      </c>
      <c r="O11" s="327"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"&amp;IF(AND(E28=$S$11,F28=$X$8),A28,"")&amp;" "&amp;IF(AND(E29=$S$11,F29=$X$8),A29,"")&amp;" "&amp;IF(AND(E30=$S$11,F30=$X$8),A30,"")&amp;" "&amp;IF(AND(E31=$S$11,F31=$X$8),A31,"")&amp;" "&amp;IF(AND(E32=$S$11,F32=$X$8),A32,"")&amp;" "&amp;IF(AND(E33=$S$11,F33=$X$8),A33,"")&amp;" "&amp;IF(AND(E34=$S$11,F34=$X$8),A34,"")&amp;" "&amp;IF(AND(E35=$S$11,F35=$X$8),A35,"")&amp;" "&amp;IF(AND(E36=$S$11,F36=$X$8),A36,"")&amp;" "&amp;IF(AND(E37=$S$11,F37=$X$8),A37,"")&amp;" "&amp;IF(AND(E38=$S$11,F38=$X$8),A38,"")&amp;" "&amp;IF(AND(E39=$S$11,F39=$X$8),A39,"")</f>
        <v xml:space="preserve">                              </v>
      </c>
      <c r="Q11" s="331"/>
      <c r="R11" s="329">
        <v>0.6</v>
      </c>
      <c r="S11" s="320" t="s">
        <v>330</v>
      </c>
      <c r="T11" s="330" t="s">
        <v>332</v>
      </c>
      <c r="U11" s="330" t="s">
        <v>332</v>
      </c>
      <c r="V11" s="330" t="s">
        <v>332</v>
      </c>
      <c r="W11" s="326" t="s">
        <v>354</v>
      </c>
      <c r="X11" s="327" t="s">
        <v>355</v>
      </c>
      <c r="AA11" s="317"/>
      <c r="AB11" s="317"/>
      <c r="AC11" s="322"/>
      <c r="AD11" s="332"/>
      <c r="AE11" s="333"/>
      <c r="AF11" s="322"/>
      <c r="AG11" s="322"/>
      <c r="AH11" s="322"/>
      <c r="AI11" s="322"/>
      <c r="AJ11" s="334"/>
      <c r="AK11" s="322"/>
      <c r="AL11" s="322"/>
    </row>
    <row r="12" spans="1:38" ht="51" customHeight="1" x14ac:dyDescent="0.25">
      <c r="A12" s="118" t="str">
        <f>'2 CONTEXTO E IDENTIFICACIÓN'!A12</f>
        <v>R4</v>
      </c>
      <c r="B12" s="172" t="str">
        <f>+'2 CONTEXTO E IDENTIFICACIÓN'!J12</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12" s="323">
        <f>'5 VALORACIÓN CONTROL PROBAB.'!C26</f>
        <v>0.6</v>
      </c>
      <c r="D12" s="324">
        <f>'5 VALORACIÓN CONTROL PROBAB.'!V26</f>
        <v>0.36</v>
      </c>
      <c r="E12" s="324" t="str">
        <f t="shared" si="0"/>
        <v>Media</v>
      </c>
      <c r="F12" s="324" t="str">
        <f t="shared" si="1"/>
        <v>Menor</v>
      </c>
      <c r="G12" s="172" t="str">
        <f t="shared" si="2"/>
        <v>Moderado</v>
      </c>
      <c r="I12" s="325"/>
      <c r="J12" s="318" t="s">
        <v>326</v>
      </c>
      <c r="K12" s="335"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"&amp;IF(AND(E28=$S$12,F28=$T$8),A28,"")&amp;" "&amp;IF(AND(E29=$S$12,F29=$T$8),A29,"")&amp;" "&amp;IF(AND(E30=$S$12,F30=$T$8),A30,"")&amp;" "&amp;IF(AND(E31=$S$12,F31=$T$8),A31,"")&amp;" "&amp;IF(AND(E32=$S$12,F32=$T$8),A32,"")&amp;" "&amp;IF(AND(E33=$S$12,F33=$T$8),A33,"")&amp;" "&amp;IF(AND(E34=$S$12,F34=$T$8),A34,"")&amp;" "&amp;IF(AND(E35=$S$12,F35=$T$8),A35,"")&amp;" "&amp;IF(AND(E36=$S$12,F36=$T$8),A36,"")&amp;" "&amp;IF(AND(E37=$S$12,F37=$T$8),A37,"")&amp;" "&amp;IF(AND(E38=$S$12,F38=$T$8),A38,"")&amp;" "&amp;IF(AND(E39=$S$12,F39=$T$8),A39,"")</f>
        <v xml:space="preserve"> R2              R16    R20   R23       R30 </v>
      </c>
      <c r="L12" s="330"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"&amp;IF(AND(E28=$S$12,F28=$U$8),A28,"")&amp;" "&amp;IF(AND(E29=$S$12,F29=$U$8),A29,"")&amp;" "&amp;IF(AND(E30=$S$12,F30=$U$8),A30,"")&amp;" "&amp;IF(AND(E31=$S$12,F31=$U$8),A31,"")&amp;" "&amp;IF(AND(E32=$S$12,F32=$U$8),A32,"")&amp;" "&amp;IF(AND(E33=$S$12,F33=$U$8),A33,"")&amp;" "&amp;IF(AND(E34=$S$12,F34=$U$8),A34,"")&amp;" "&amp;IF(AND(E35=$S$12,F35=$U$8),A35,"")&amp;" "&amp;IF(AND(E36=$S$12,F36=$U$8),A36,"")&amp;" "&amp;IF(AND(E37=$S$12,F37=$U$8),A37,"")&amp;" "&amp;IF(AND(E38=$S$12,F38=$U$8),A38,"")&amp;" "&amp;IF(AND(E39=$S$12,F39=$U$8),A39,"")</f>
        <v xml:space="preserve">      R7  R9 R10 R11      R17 R18       R25 R26   R29  R31</v>
      </c>
      <c r="M12" s="330"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"&amp;IF(AND(E28=$S$12,F28=$V$8),A28,"")&amp;" "&amp;IF(AND(E29=$S$12,F29=$V$8),A29,"")&amp;" "&amp;IF(AND(E30=$S$12,F30=$V$8),A30,"")&amp;" "&amp;IF(AND(E31=$S$12,F31=$V$8),A31,"")&amp;" "&amp;IF(AND(E32=$S$12,F32=$V$8),A32,"")&amp;" "&amp;IF(AND(E33=$S$12,F33=$V$8),A33,"")&amp;" "&amp;IF(AND(E34=$S$12,F34=$V$8),A34,"")&amp;" "&amp;IF(AND(E35=$S$12,F35=$V$8),A35,"")&amp;" "&amp;IF(AND(E36=$S$12,F36=$V$8),A36,"")&amp;" "&amp;IF(AND(E37=$S$12,F37=$V$8),A37,"")&amp;" "&amp;IF(AND(E38=$S$12,F38=$V$8),A38,"")&amp;" "&amp;IF(AND(E39=$S$12,F39=$V$8),A39,"")</f>
        <v xml:space="preserve">R1                              </v>
      </c>
      <c r="N12" s="326"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"&amp;IF(AND(E28=$S$12,F28=$W$8),A28,"")&amp;" "&amp;IF(AND(E29=$S$12,F29=$W$8),A29,"")&amp;" "&amp;IF(AND(E30=$S$12,F30=$W$8),A30,"")&amp;" "&amp;IF(AND(E31=$S$12,F31=$W$8),A31,"")&amp;" "&amp;IF(AND(E32=$S$12,F32=$W$8),A32,"")&amp;" "&amp;IF(AND(E33=$S$12,F33=$W$8),A33,"")&amp;" "&amp;IF(AND(E34=$S$12,F34=$W$8),A34,"")&amp;" "&amp;IF(AND(E35=$S$12,F35=$W$8),A35,"")&amp;" "&amp;IF(AND(E36=$S$12,F36=$W$8),A36,"")&amp;" "&amp;IF(AND(E37=$S$12,F37=$W$8),A37,"")&amp;" "&amp;IF(AND(E38=$S$12,F38=$W$8),A38,"")&amp;" "&amp;IF(AND(E39=$S$12,F39=$W$8),A39,"")</f>
        <v xml:space="preserve">                              </v>
      </c>
      <c r="O12" s="327"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"&amp;IF(AND(E28=$S$12,F28=$X$8),A28,"")&amp;" "&amp;IF(AND(E29=$S$12,F29=$X$8),A29,"")&amp;" "&amp;IF(AND(E30=$S$12,F30=$X$8),A30,"")&amp;" "&amp;IF(AND(E31=$S$12,F31=$X$8),A31,"")&amp;" "&amp;IF(AND(E32=$S$12,F32=$X$8),A32,"")&amp;" "&amp;IF(AND(E33=$S$12,F33=$X$8),A33,"")&amp;" "&amp;IF(AND(E34=$S$12,F34=$X$8),A34,"")&amp;" "&amp;IF(AND(E35=$S$12,F35=$X$8),A35,"")&amp;" "&amp;IF(AND(E36=$S$12,F36=$X$8),A36,"")&amp;" "&amp;IF(AND(E37=$S$12,F37=$X$8),A37,"")&amp;" "&amp;IF(AND(E38=$S$12,F38=$X$8),A38,"")&amp;" "&amp;IF(AND(E39=$S$12,F39=$X$8),A39,"")</f>
        <v xml:space="preserve">                              </v>
      </c>
      <c r="Q12" s="331"/>
      <c r="R12" s="329">
        <v>0.4</v>
      </c>
      <c r="S12" s="320" t="s">
        <v>326</v>
      </c>
      <c r="T12" s="335" t="s">
        <v>356</v>
      </c>
      <c r="U12" s="330" t="s">
        <v>332</v>
      </c>
      <c r="V12" s="330" t="s">
        <v>332</v>
      </c>
      <c r="W12" s="326" t="s">
        <v>354</v>
      </c>
      <c r="X12" s="327" t="s">
        <v>355</v>
      </c>
      <c r="AA12" s="317"/>
      <c r="AB12" s="317"/>
      <c r="AC12" s="322"/>
      <c r="AD12" s="332"/>
      <c r="AE12" s="333"/>
      <c r="AF12" s="322"/>
      <c r="AG12" s="322"/>
      <c r="AH12" s="322"/>
      <c r="AI12" s="334"/>
      <c r="AJ12" s="322"/>
      <c r="AK12" s="322"/>
      <c r="AL12" s="322"/>
    </row>
    <row r="13" spans="1:38" ht="51" customHeight="1" thickBot="1" x14ac:dyDescent="0.3">
      <c r="A13" s="118" t="str">
        <f>'2 CONTEXTO E IDENTIFICACIÓN'!A13</f>
        <v>R5</v>
      </c>
      <c r="B13" s="172" t="str">
        <f>+'2 CONTEXTO E IDENTIFICACIÓN'!J13</f>
        <v>Posibilidad de afectación reputacional por pérdida de credibilidad en el ejercicio auditor. a causa de  de emitir conclusiones, recomendaciones, hallazgos erróneos u omisiones en las actividades de auditoría interna.</v>
      </c>
      <c r="C13" s="323">
        <f>'5 VALORACIÓN CONTROL PROBAB.'!C32</f>
        <v>0.6</v>
      </c>
      <c r="D13" s="324">
        <f>'5 VALORACIÓN CONTROL PROBAB.'!V32</f>
        <v>0.36</v>
      </c>
      <c r="E13" s="324" t="str">
        <f t="shared" si="0"/>
        <v>Media</v>
      </c>
      <c r="F13" s="324" t="str">
        <f t="shared" si="1"/>
        <v>Menor</v>
      </c>
      <c r="G13" s="172" t="str">
        <f t="shared" si="2"/>
        <v>Moderado</v>
      </c>
      <c r="I13" s="336"/>
      <c r="J13" s="337" t="s">
        <v>321</v>
      </c>
      <c r="K13" s="338"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"&amp;IF(AND(E28=$S$13,F28=$T$8),A28,"")&amp;" "&amp;IF(AND(E29=$S$13,F29=$T$8),A29,"")&amp;" "&amp;IF(AND(E30=$S$13,F30=$T$8),A30,"")&amp;" "&amp;IF(AND(E31=$S$13,F31=$T$8),A31,"")&amp;" "&amp;IF(AND(E32=$S$13,F32=$T$8),A32,"")&amp;" "&amp;IF(AND(E33=$S$13,F33=$T$8),A33,"")&amp;" "&amp;IF(AND(E34=$S$13,F34=$T$8),A34,"")&amp;" "&amp;IF(AND(E35=$S$13,F35=$T$8),A35,"")&amp;" "&amp;IF(AND(E36=$S$13,F36=$T$8),A36,"")&amp;" "&amp;IF(AND(E37=$S$13,F37=$T$8),A37,"")&amp;" "&amp;IF(AND(E38=$S$13,F38=$T$8),A38,"")&amp;" "&amp;IF(AND(E39=$S$13,F39=$T$8),A39,"")</f>
        <v xml:space="preserve">                              </v>
      </c>
      <c r="L13" s="338"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"&amp;IF(AND(E28=$S$13,F28=$U$8),A28,"")&amp;" "&amp;IF(AND(E29=$S$13,F29=$U$8),A29,"")&amp;" "&amp;IF(AND(E30=$S$13,F30=$U$8),A30,"")&amp;" "&amp;IF(AND(E31=$S$13,F31=$U$8),A31,"")&amp;" "&amp;IF(AND(E32=$S$13,F32=$U$8),A32,"")&amp;" "&amp;IF(AND(E33=$S$13,F33=$U$8),A33,"")&amp;" "&amp;IF(AND(E34=$S$13,F34=$U$8),A34,"")&amp;" "&amp;IF(AND(E35=$S$13,F35=$U$8),A35,"")&amp;" "&amp;IF(AND(E36=$S$13,F36=$U$8),A36,"")&amp;" "&amp;IF(AND(E37=$S$13,F37=$U$8),A37,"")&amp;" "&amp;IF(AND(E38=$S$13,F38=$U$8),A38,"")&amp;" "&amp;IF(AND(E39=$S$13,F39=$U$8),A39,"")</f>
        <v xml:space="preserve">                              </v>
      </c>
      <c r="M13" s="339"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"&amp;IF(AND(E28=$S$13,F28=$V$8),A28,"")&amp;" "&amp;IF(AND(E29=$S$13,F29=$V$8),A29,"")&amp;" "&amp;IF(AND(E30=$S$13,F30=$V$8),A30,"")&amp;" "&amp;IF(AND(E31=$S$13,F31=$V$8),A31,"")&amp;" "&amp;IF(AND(E32=$S$13,F32=$V$8),A32,"")&amp;" "&amp;IF(AND(E33=$S$13,F33=$V$8),A33,"")&amp;" "&amp;IF(AND(E34=$S$13,F34=$V$8),A34,"")&amp;" "&amp;IF(AND(E35=$S$13,F35=$V$8),A35,"")&amp;" "&amp;IF(AND(E36=$S$13,F36=$V$8),A36,"")&amp;" "&amp;IF(AND(E37=$S$13,F37=$V$8),A37,"")&amp;" "&amp;IF(AND(E38=$S$13,F38=$V$8),A38,"")&amp;" "&amp;IF(AND(E39=$S$13,F39=$V$8),A39,"")</f>
        <v xml:space="preserve">                              </v>
      </c>
      <c r="N13" s="340"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"&amp;IF(AND(E28=$S$13,F28=$W$8),A28,"")&amp;" "&amp;IF(AND(E29=$S$13,F29=$W$8),A29,"")&amp;" "&amp;IF(AND(E30=$S$13,F30=$W$8),A30,"")&amp;" "&amp;IF(AND(E31=$S$13,F31=$W$8),A31,"")&amp;" "&amp;IF(AND(E32=$S$13,F32=$W$8),A32,"")&amp;" "&amp;IF(AND(E33=$S$13,F33=$W$8),A33,"")&amp;" "&amp;IF(AND(E34=$S$13,F34=$W$8),A34,"")&amp;" "&amp;IF(AND(E35=$S$13,F35=$W$8),A35,"")&amp;" "&amp;IF(AND(E36=$S$13,F36=$W$8),A36,"")&amp;" "&amp;IF(AND(E37=$S$13,F37=$W$8),A37,"")&amp;" "&amp;IF(AND(E38=$S$13,F38=$W$8),A38,"")&amp;" "&amp;IF(AND(E39=$S$13,F39=$W$8),A39,"")</f>
        <v xml:space="preserve">                              </v>
      </c>
      <c r="O13" s="341"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"&amp;IF(AND(E28=$S$13,F28=$X$8),A28,"")&amp;" "&amp;IF(AND(E29=$S$13,F29=$X$8),A29,"")&amp;" "&amp;IF(AND(E30=$S$13,F30=$X$8),A30,"")&amp;" "&amp;IF(AND(E31=$S$13,F31=$X$8),A31,"")&amp;" "&amp;IF(AND(E32=$S$13,F32=$X$8),A32,"")&amp;" "&amp;IF(AND(E33=$S$13,F33=$X$8),A33,"")&amp;" "&amp;IF(AND(E34=$S$13,F34=$X$8),A34,"")&amp;" "&amp;IF(AND(E35=$S$13,F35=$X$8),A35,"")&amp;" "&amp;IF(AND(E36=$S$13,F36=$X$8),A36,"")&amp;" "&amp;IF(AND(E37=$S$13,F37=$X$8),A37,"")&amp;" "&amp;IF(AND(E38=$S$13,F38=$X$8),A38,"")&amp;" "&amp;IF(AND(E39=$S$13,F39=$X$8),A39,"")</f>
        <v xml:space="preserve">                              </v>
      </c>
      <c r="Q13" s="342"/>
      <c r="R13" s="343">
        <v>0.2</v>
      </c>
      <c r="S13" s="344" t="s">
        <v>321</v>
      </c>
      <c r="T13" s="338" t="s">
        <v>356</v>
      </c>
      <c r="U13" s="338" t="s">
        <v>356</v>
      </c>
      <c r="V13" s="339" t="s">
        <v>332</v>
      </c>
      <c r="W13" s="340" t="s">
        <v>354</v>
      </c>
      <c r="X13" s="341" t="s">
        <v>355</v>
      </c>
      <c r="AA13" s="317"/>
      <c r="AB13" s="317"/>
      <c r="AC13" s="322"/>
      <c r="AD13" s="332"/>
      <c r="AE13" s="333"/>
      <c r="AF13" s="322"/>
      <c r="AG13" s="322"/>
      <c r="AH13" s="322"/>
      <c r="AI13" s="322"/>
      <c r="AJ13" s="322"/>
      <c r="AK13" s="322"/>
      <c r="AL13" s="322"/>
    </row>
    <row r="14" spans="1:38" ht="51" customHeight="1" x14ac:dyDescent="0.25">
      <c r="A14" s="118" t="str">
        <f>'2 CONTEXTO E IDENTIFICACIÓN'!A14</f>
        <v>R6</v>
      </c>
      <c r="B14" s="172" t="str">
        <f>+'2 CONTEXTO E IDENTIFICACIÓN'!J14</f>
        <v>Posibilidad de afectación reputacional por la veracidad de la información a difundir. a causa de que las direcciones / dependencias entregan información parcial o sin confirmar y fuera de tiempos.</v>
      </c>
      <c r="C14" s="323">
        <f>'5 VALORACIÓN CONTROL PROBAB.'!C38</f>
        <v>0.6</v>
      </c>
      <c r="D14" s="324">
        <f>'5 VALORACIÓN CONTROL PROBAB.'!V38</f>
        <v>0.36</v>
      </c>
      <c r="E14" s="324" t="str">
        <f t="shared" si="0"/>
        <v>Media</v>
      </c>
      <c r="F14" s="324" t="str">
        <f t="shared" si="1"/>
        <v>Menor</v>
      </c>
      <c r="G14" s="172" t="str">
        <f t="shared" si="2"/>
        <v>Moderado</v>
      </c>
      <c r="AA14" s="317"/>
      <c r="AB14" s="317"/>
      <c r="AC14" s="322"/>
      <c r="AD14" s="332"/>
      <c r="AE14" s="333"/>
      <c r="AF14" s="322"/>
      <c r="AG14" s="322"/>
      <c r="AH14" s="322"/>
      <c r="AI14" s="322"/>
      <c r="AJ14" s="322"/>
      <c r="AK14" s="322"/>
      <c r="AL14" s="322"/>
    </row>
    <row r="15" spans="1:38" ht="51" customHeight="1" x14ac:dyDescent="0.25">
      <c r="A15" s="118" t="str">
        <f>'2 CONTEXTO E IDENTIFICACIÓN'!A15</f>
        <v>R7</v>
      </c>
      <c r="B15" s="172" t="str">
        <f>+'2 CONTEXTO E IDENTIFICACIÓN'!J15</f>
        <v>Posibilidad de afectación reputacional por gestión del conflicto a causa de  la matriz de levantamiento de activos.</v>
      </c>
      <c r="C15" s="323">
        <f>'5 VALORACIÓN CONTROL PROBAB.'!C44</f>
        <v>0.4</v>
      </c>
      <c r="D15" s="324">
        <f>'5 VALORACIÓN CONTROL PROBAB.'!V44</f>
        <v>0.24</v>
      </c>
      <c r="E15" s="324" t="str">
        <f t="shared" si="0"/>
        <v>Baja</v>
      </c>
      <c r="F15" s="324" t="str">
        <f t="shared" si="1"/>
        <v>Menor</v>
      </c>
      <c r="G15" s="172" t="str">
        <f t="shared" si="2"/>
        <v>Moderado</v>
      </c>
      <c r="J15" s="90" t="s">
        <v>357</v>
      </c>
      <c r="V15" s="317"/>
      <c r="W15" s="317"/>
      <c r="X15" s="317"/>
      <c r="Y15" s="317"/>
      <c r="Z15" s="317"/>
      <c r="AA15" s="317"/>
      <c r="AB15" s="317"/>
      <c r="AC15" s="322"/>
      <c r="AD15" s="332"/>
      <c r="AE15" s="322"/>
      <c r="AF15" s="333"/>
      <c r="AG15" s="333"/>
      <c r="AH15" s="333"/>
      <c r="AI15" s="333"/>
      <c r="AJ15" s="333"/>
      <c r="AK15" s="322"/>
      <c r="AL15" s="322"/>
    </row>
    <row r="16" spans="1:38" ht="51" customHeight="1" x14ac:dyDescent="0.25">
      <c r="A16" s="118" t="str">
        <f>'2 CONTEXTO E IDENTIFICACIÓN'!A16</f>
        <v>R8</v>
      </c>
      <c r="B16" s="172" t="str">
        <f>+'2 CONTEXTO E IDENTIFICACIÓN'!J16</f>
        <v xml:space="preserve">Posibilidad  de efecto dañoso sobre el recurso público por pérdida de los recursos entregados en administración. a causa de  entregar los recursos, sin el cumplimiento de los requisitos y no realizar los controles establecidos en la normatividad vigente. </v>
      </c>
      <c r="C16" s="323">
        <f>'5 VALORACIÓN CONTROL PROBAB.'!C50</f>
        <v>0.6</v>
      </c>
      <c r="D16" s="324">
        <f>'5 VALORACIÓN CONTROL PROBAB.'!V50</f>
        <v>0.36</v>
      </c>
      <c r="E16" s="324" t="str">
        <f t="shared" si="0"/>
        <v>Media</v>
      </c>
      <c r="F16" s="324" t="str">
        <f t="shared" si="1"/>
        <v>Menor</v>
      </c>
      <c r="G16" s="172" t="str">
        <f t="shared" si="2"/>
        <v>Moderado</v>
      </c>
      <c r="J16" s="345" t="s">
        <v>355</v>
      </c>
      <c r="V16" s="317"/>
      <c r="W16" s="317"/>
      <c r="X16" s="317"/>
      <c r="Y16" s="317"/>
      <c r="Z16" s="317"/>
      <c r="AA16" s="317"/>
      <c r="AB16" s="317"/>
      <c r="AC16" s="322"/>
      <c r="AD16" s="322"/>
      <c r="AE16" s="322"/>
      <c r="AF16" s="322"/>
      <c r="AG16" s="322"/>
      <c r="AH16" s="322"/>
      <c r="AI16" s="322"/>
      <c r="AJ16" s="322"/>
      <c r="AK16" s="322"/>
      <c r="AL16" s="322"/>
    </row>
    <row r="17" spans="1:38" ht="51" customHeight="1" x14ac:dyDescent="0.25">
      <c r="A17" s="118" t="str">
        <f>'2 CONTEXTO E IDENTIFICACIÓN'!A17</f>
        <v>R9</v>
      </c>
      <c r="B17" s="172" t="str">
        <f>+'2 CONTEXTO E IDENTIFICACIÓN'!J17</f>
        <v>Posibilidad de afectación reputacional por baja ejecución de proyectos e iniciativas de cooperación Sur-Sur.  a causa de cambios en las dinámicas de la Cooperación Sur-Sur,  así como factores propios de países socios:
cambios de Gobierno, restricciones presupuestales, entre otros.</v>
      </c>
      <c r="C17" s="323">
        <f>'5 VALORACIÓN CONTROL PROBAB.'!C56</f>
        <v>0.4</v>
      </c>
      <c r="D17" s="324">
        <f>'5 VALORACIÓN CONTROL PROBAB.'!V56</f>
        <v>0.24</v>
      </c>
      <c r="E17" s="324" t="str">
        <f t="shared" si="0"/>
        <v>Baja</v>
      </c>
      <c r="F17" s="324" t="str">
        <f t="shared" si="1"/>
        <v>Menor</v>
      </c>
      <c r="G17" s="172" t="str">
        <f t="shared" si="2"/>
        <v>Moderado</v>
      </c>
      <c r="J17" s="326" t="s">
        <v>354</v>
      </c>
      <c r="U17" s="317"/>
      <c r="V17" s="317"/>
      <c r="W17" s="317"/>
      <c r="X17" s="317"/>
      <c r="Y17" s="317"/>
      <c r="Z17" s="317"/>
      <c r="AA17" s="317"/>
      <c r="AB17" s="317"/>
      <c r="AC17" s="322"/>
      <c r="AD17" s="322"/>
      <c r="AE17" s="322"/>
      <c r="AF17" s="322"/>
      <c r="AG17" s="322"/>
      <c r="AH17" s="322"/>
      <c r="AI17" s="322"/>
      <c r="AJ17" s="322"/>
      <c r="AK17" s="322"/>
      <c r="AL17" s="322"/>
    </row>
    <row r="18" spans="1:38" ht="51" customHeight="1" x14ac:dyDescent="0.25">
      <c r="A18" s="118" t="str">
        <f>'2 CONTEXTO E IDENTIFICACIÓN'!A18</f>
        <v>R10</v>
      </c>
      <c r="B18" s="172" t="str">
        <f>+'2 CONTEXTO E IDENTIFICACIÓN'!J18</f>
        <v>Posibilidad de afectación económica por no reporte o no rendir informes sobre el uso o destinación de los recursos entregados a otros países y otras entidades a causa de la no entrega de los informes.</v>
      </c>
      <c r="C18" s="323">
        <f>'5 VALORACIÓN CONTROL PROBAB.'!C62</f>
        <v>0.4</v>
      </c>
      <c r="D18" s="324">
        <f>'5 VALORACIÓN CONTROL PROBAB.'!V62</f>
        <v>0.24</v>
      </c>
      <c r="E18" s="324" t="str">
        <f t="shared" si="0"/>
        <v>Baja</v>
      </c>
      <c r="F18" s="324" t="str">
        <f t="shared" si="1"/>
        <v>Menor</v>
      </c>
      <c r="G18" s="172" t="str">
        <f t="shared" si="2"/>
        <v>Moderado</v>
      </c>
      <c r="J18" s="330" t="s">
        <v>332</v>
      </c>
      <c r="S18" s="346"/>
      <c r="U18" s="346"/>
      <c r="V18" s="346"/>
      <c r="W18" s="346"/>
      <c r="X18" s="346"/>
      <c r="Y18" s="346"/>
      <c r="Z18" s="346"/>
      <c r="AA18" s="346"/>
      <c r="AB18" s="346"/>
      <c r="AC18" s="322"/>
      <c r="AD18" s="322"/>
      <c r="AE18" s="347"/>
      <c r="AF18" s="347"/>
      <c r="AG18" s="347"/>
      <c r="AH18" s="347"/>
      <c r="AI18" s="347"/>
      <c r="AJ18" s="347"/>
      <c r="AK18" s="322"/>
      <c r="AL18" s="322"/>
    </row>
    <row r="19" spans="1:38" ht="51" customHeight="1" x14ac:dyDescent="0.25">
      <c r="A19" s="118" t="str">
        <f>'2 CONTEXTO E IDENTIFICACIÓN'!A19</f>
        <v>R11</v>
      </c>
      <c r="B19" s="172" t="str">
        <f>+'2 CONTEXTO E IDENTIFICACIÓN'!J19</f>
        <v>Posibilidad de afectación económica y reputacional por factores propios del país: cambios de Gobierno, restricciones presupuestales, incumplimiento en la ejecucion del proyecto y/o iniciativa, entre otros. a causa de Baja ejecución de proyectos e iniciativas del Plan Estrategicos de Tecnologias de la Información (PETI).</v>
      </c>
      <c r="C19" s="323">
        <f>'5 VALORACIÓN CONTROL PROBAB.'!C68</f>
        <v>0.4</v>
      </c>
      <c r="D19" s="324">
        <f>'5 VALORACIÓN CONTROL PROBAB.'!V68</f>
        <v>0.24</v>
      </c>
      <c r="E19" s="324" t="str">
        <f t="shared" si="0"/>
        <v>Baja</v>
      </c>
      <c r="F19" s="324" t="str">
        <f t="shared" si="1"/>
        <v>Menor</v>
      </c>
      <c r="G19" s="172" t="str">
        <f t="shared" si="2"/>
        <v>Moderado</v>
      </c>
      <c r="J19" s="335" t="s">
        <v>356</v>
      </c>
      <c r="S19" s="346"/>
      <c r="AA19" s="346"/>
      <c r="AB19" s="346"/>
      <c r="AC19" s="322"/>
      <c r="AD19" s="322"/>
      <c r="AE19" s="322"/>
      <c r="AF19" s="322"/>
      <c r="AG19" s="322"/>
      <c r="AH19" s="322"/>
      <c r="AI19" s="322"/>
      <c r="AJ19" s="322"/>
      <c r="AK19" s="322"/>
      <c r="AL19" s="322"/>
    </row>
    <row r="20" spans="1:38" ht="51" customHeight="1" x14ac:dyDescent="0.25">
      <c r="A20" s="118" t="str">
        <f>'2 CONTEXTO E IDENTIFICACIÓN'!A20</f>
        <v>R12</v>
      </c>
      <c r="B20" s="172" t="str">
        <f>+'2 CONTEXTO E IDENTIFICACIÓN'!J20</f>
        <v>Posibilidad de afectación económica y reputacional por el incumplimiento de compromisos institucionales, normatividad, demandas o  acciones disciplinarias. a causa de    a la inadeacuada custodia, ingreso y/o salida e inoportuna gestión y registro en el sistema de información.</v>
      </c>
      <c r="C20" s="323">
        <f>'5 VALORACIÓN CONTROL PROBAB.'!C74</f>
        <v>0.6</v>
      </c>
      <c r="D20" s="324">
        <f>'5 VALORACIÓN CONTROL PROBAB.'!V74</f>
        <v>0.4</v>
      </c>
      <c r="E20" s="324" t="str">
        <f t="shared" si="0"/>
        <v>Media</v>
      </c>
      <c r="F20" s="324" t="str">
        <f t="shared" si="1"/>
        <v>Menor</v>
      </c>
      <c r="G20" s="172" t="str">
        <f t="shared" si="2"/>
        <v>Moderado</v>
      </c>
      <c r="Q20" s="348"/>
      <c r="R20" s="348"/>
      <c r="S20" s="346"/>
      <c r="AA20" s="346"/>
      <c r="AB20" s="346"/>
      <c r="AC20" s="322"/>
      <c r="AD20" s="322"/>
      <c r="AE20" s="322"/>
      <c r="AF20" s="322"/>
      <c r="AG20" s="322"/>
      <c r="AH20" s="322"/>
      <c r="AI20" s="322"/>
      <c r="AJ20" s="322"/>
      <c r="AK20" s="322"/>
      <c r="AL20" s="322"/>
    </row>
    <row r="21" spans="1:38" ht="51" customHeight="1" x14ac:dyDescent="0.25">
      <c r="A21" s="118" t="str">
        <f>'2 CONTEXTO E IDENTIFICACIÓN'!A21</f>
        <v>R13</v>
      </c>
      <c r="B21" s="172" t="str">
        <f>+'2 CONTEXTO E IDENTIFICACIÓN'!J21</f>
        <v>Posibilidad de afectación económica y reputacional por pérdidas economicas, de imagen y/o reputacionales. a causa de ingreso de personal sin autorización y falta de control en en los prestamos de documentación y/o activos.</v>
      </c>
      <c r="C21" s="323">
        <f>'5 VALORACIÓN CONTROL PROBAB.'!C80</f>
        <v>0.6</v>
      </c>
      <c r="D21" s="324">
        <f>'5 VALORACIÓN CONTROL PROBAB.'!V80</f>
        <v>0.36</v>
      </c>
      <c r="E21" s="324" t="str">
        <f t="shared" si="0"/>
        <v>Media</v>
      </c>
      <c r="F21" s="324" t="str">
        <f t="shared" si="1"/>
        <v>Menor</v>
      </c>
      <c r="G21" s="172" t="str">
        <f t="shared" si="2"/>
        <v>Moderado</v>
      </c>
      <c r="Q21" s="348"/>
      <c r="R21" s="348"/>
      <c r="S21" s="348"/>
      <c r="AA21" s="346"/>
      <c r="AB21" s="346"/>
      <c r="AC21" s="322"/>
      <c r="AD21" s="322"/>
      <c r="AE21" s="322"/>
      <c r="AF21" s="322"/>
      <c r="AG21" s="322"/>
      <c r="AH21" s="322"/>
      <c r="AI21" s="322"/>
      <c r="AJ21" s="322"/>
      <c r="AK21" s="322"/>
      <c r="AL21" s="322"/>
    </row>
    <row r="22" spans="1:38" ht="51" customHeight="1" x14ac:dyDescent="0.25">
      <c r="A22" s="118" t="str">
        <f>'2 CONTEXTO E IDENTIFICACIÓN'!A22</f>
        <v>R14</v>
      </c>
      <c r="B22" s="172" t="str">
        <f>+'2 CONTEXTO E IDENTIFICACIÓN'!J22</f>
        <v>Posibilidad de afectación económica y reputacional por susceptible a retrasos en los procesos internos por falta de la información requerida. a causa de  a ingreso de personal no autorizado y falta de control en el préstamo de expedientes.</v>
      </c>
      <c r="C22" s="323">
        <f>'5 VALORACIÓN CONTROL PROBAB.'!C86</f>
        <v>0.6</v>
      </c>
      <c r="D22" s="324">
        <f>'5 VALORACIÓN CONTROL PROBAB.'!V86</f>
        <v>0.36</v>
      </c>
      <c r="E22" s="324" t="str">
        <f t="shared" si="0"/>
        <v>Media</v>
      </c>
      <c r="F22" s="324" t="str">
        <f t="shared" si="1"/>
        <v>Menor</v>
      </c>
      <c r="G22" s="172" t="str">
        <f t="shared" si="2"/>
        <v>Moderado</v>
      </c>
      <c r="Q22" s="348"/>
      <c r="R22" s="348"/>
      <c r="AC22" s="322"/>
      <c r="AD22" s="349"/>
      <c r="AE22" s="349"/>
      <c r="AF22" s="349"/>
      <c r="AG22" s="349"/>
      <c r="AH22" s="349"/>
      <c r="AI22" s="349"/>
      <c r="AJ22" s="322"/>
      <c r="AK22" s="322"/>
      <c r="AL22" s="322"/>
    </row>
    <row r="23" spans="1:38" ht="51" customHeight="1" x14ac:dyDescent="0.25">
      <c r="A23" s="118" t="str">
        <f>'2 CONTEXTO E IDENTIFICACIÓN'!A23</f>
        <v>R15</v>
      </c>
      <c r="B23" s="172" t="str">
        <f>+'2 CONTEXTO E IDENTIFICACIÓN'!J23</f>
        <v>Posibilidad de afectación económica y reputacional por demora en la asignación de las peticiones, quejas, reclamos, sugerencias y denuncias, a las diferentes direcciones y/o grupo de valor interesados, que por competencia deben tramitar la solicitud. a causa de la respuesta inoportuna a las PQRSD.</v>
      </c>
      <c r="C23" s="323">
        <f>'5 VALORACIÓN CONTROL PROBAB.'!C92</f>
        <v>0.8</v>
      </c>
      <c r="D23" s="324">
        <f>'5 VALORACIÓN CONTROL PROBAB.'!V92</f>
        <v>0.48</v>
      </c>
      <c r="E23" s="324" t="str">
        <f t="shared" si="0"/>
        <v>Alta</v>
      </c>
      <c r="F23" s="324" t="str">
        <f t="shared" si="1"/>
        <v>Moderado</v>
      </c>
      <c r="G23" s="172" t="str">
        <f t="shared" si="2"/>
        <v>Alto</v>
      </c>
      <c r="Q23" s="348"/>
      <c r="R23" s="348"/>
      <c r="AC23" s="322"/>
      <c r="AD23" s="322"/>
      <c r="AE23" s="322"/>
      <c r="AF23" s="322"/>
      <c r="AG23" s="322"/>
      <c r="AH23" s="322"/>
      <c r="AI23" s="322"/>
      <c r="AJ23" s="322"/>
      <c r="AK23" s="322"/>
      <c r="AL23" s="322"/>
    </row>
    <row r="24" spans="1:38" ht="51" customHeight="1" x14ac:dyDescent="0.25">
      <c r="A24" s="118" t="str">
        <f>'2 CONTEXTO E IDENTIFICACIÓN'!A24</f>
        <v>R16</v>
      </c>
      <c r="B24" s="172" t="str">
        <f>+'2 CONTEXTO E IDENTIFICACIÓN'!J24</f>
        <v>Posibilidad de afectación económica y reputacional por Carencia o insuficiencia de PAC. a causa de  a las áreas no realizan la solicitud de cupo PAC en las fechas estipuladas
Minhacienda no autoriza la solicitud del total de cupo PAC, debido a la no ejecución en el mes inmediatamente anterior.</v>
      </c>
      <c r="C24" s="323">
        <f>'5 VALORACIÓN CONTROL PROBAB.'!C98</f>
        <v>0.4</v>
      </c>
      <c r="D24" s="324">
        <f>'5 VALORACIÓN CONTROL PROBAB.'!V98</f>
        <v>0.14399999999999999</v>
      </c>
      <c r="E24" s="324" t="str">
        <f t="shared" si="0"/>
        <v>Baja</v>
      </c>
      <c r="F24" s="324" t="str">
        <f t="shared" si="1"/>
        <v>Leve</v>
      </c>
      <c r="G24" s="172" t="str">
        <f t="shared" si="2"/>
        <v>Bajo</v>
      </c>
      <c r="AC24" s="322"/>
      <c r="AD24" s="322"/>
      <c r="AE24" s="322"/>
      <c r="AF24" s="322"/>
      <c r="AG24" s="322"/>
      <c r="AH24" s="322"/>
      <c r="AI24" s="322"/>
      <c r="AJ24" s="322"/>
      <c r="AK24" s="322"/>
      <c r="AL24" s="322"/>
    </row>
    <row r="25" spans="1:38" ht="51" customHeight="1" x14ac:dyDescent="0.25">
      <c r="A25" s="118" t="str">
        <f>'2 CONTEXTO E IDENTIFICACIÓN'!A25</f>
        <v>R17</v>
      </c>
      <c r="B25" s="172" t="str">
        <f>+'2 CONTEXTO E IDENTIFICACIÓN'!J25</f>
        <v>Posibilidad de afectación económica y reputacional por  el registro de información sin soportes completos y precisos. a causa de  suministro de información al proceso contable de forma incompleta o sin verificación.</v>
      </c>
      <c r="C25" s="323">
        <f>'5 VALORACIÓN CONTROL PROBAB.'!C104</f>
        <v>0.4</v>
      </c>
      <c r="D25" s="324">
        <f>'5 VALORACIÓN CONTROL PROBAB.'!V104</f>
        <v>0.24</v>
      </c>
      <c r="E25" s="324" t="str">
        <f t="shared" si="0"/>
        <v>Baja</v>
      </c>
      <c r="F25" s="324" t="str">
        <f t="shared" si="1"/>
        <v>Menor</v>
      </c>
      <c r="G25" s="172" t="str">
        <f t="shared" si="2"/>
        <v>Moderado</v>
      </c>
    </row>
    <row r="26" spans="1:38" ht="51" customHeight="1" x14ac:dyDescent="0.25">
      <c r="A26" s="118" t="str">
        <f>'2 CONTEXTO E IDENTIFICACIÓN'!A26</f>
        <v>R18</v>
      </c>
      <c r="B26" s="172" t="str">
        <f>+'2 CONTEXTO E IDENTIFICACIÓN'!J26</f>
        <v>Posibilidad de afectación económica y reputacional por sanción y/o multa. a causa de  al incumplimiento legal de los requisitos del Sistema de gestión de seguridad y salud en el trabajo (SG-SST).</v>
      </c>
      <c r="C26" s="323">
        <f>'5 VALORACIÓN CONTROL PROBAB.'!C110</f>
        <v>0.4</v>
      </c>
      <c r="D26" s="324">
        <f>'5 VALORACIÓN CONTROL PROBAB.'!V110</f>
        <v>0.24</v>
      </c>
      <c r="E26" s="324" t="str">
        <f t="shared" si="0"/>
        <v>Baja</v>
      </c>
      <c r="F26" s="324" t="str">
        <f t="shared" si="1"/>
        <v>Menor</v>
      </c>
      <c r="G26" s="172" t="str">
        <f t="shared" si="2"/>
        <v>Moderado</v>
      </c>
    </row>
    <row r="27" spans="1:38" ht="51" customHeight="1" x14ac:dyDescent="0.25">
      <c r="A27" s="118" t="str">
        <f>'2 CONTEXTO E IDENTIFICACIÓN'!A27</f>
        <v>R19</v>
      </c>
      <c r="B27" s="172" t="str">
        <f>+'2 CONTEXTO E IDENTIFICACIÓN'!J27</f>
        <v xml:space="preserve">Posibilidad de afectación económica y reputacional por daño antijurídico en la actuación de la Agencia. a causa de  la ilegalidad del acto administrativo que pueda afectar los intereses de la misma o a terceros y en consecuencia dar lugar a conciliaciones extrajudiciales y/o judiciales y/o  demandas y/o denuncias y/o condenas en contra de la Agencia. </v>
      </c>
      <c r="C27" s="323">
        <f>'5 VALORACIÓN CONTROL PROBAB.'!C116</f>
        <v>0.6</v>
      </c>
      <c r="D27" s="324">
        <f>'5 VALORACIÓN CONTROL PROBAB.'!V116</f>
        <v>0.36</v>
      </c>
      <c r="E27" s="324" t="str">
        <f t="shared" si="0"/>
        <v>Media</v>
      </c>
      <c r="F27" s="324" t="str">
        <f t="shared" si="1"/>
        <v>Menor</v>
      </c>
      <c r="G27" s="172" t="str">
        <f t="shared" si="2"/>
        <v>Moderado</v>
      </c>
    </row>
    <row r="28" spans="1:38" ht="51" customHeight="1" x14ac:dyDescent="0.25">
      <c r="A28" s="118" t="str">
        <f>'2 CONTEXTO E IDENTIFICACIÓN'!A28</f>
        <v>R20</v>
      </c>
      <c r="B28" s="172" t="str">
        <f>+'2 CONTEXTO E IDENTIFICACIÓN'!J28</f>
        <v>Posibilidad de afectación reputacional por la reclamación de la DIAN y queja y/o sanción de los organismos de vigilancia y control. a causa de   incumplimiento en los requisitos para tramitar donaciones por parte de la Agencia.</v>
      </c>
      <c r="C28" s="323">
        <f>'5 VALORACIÓN CONTROL PROBAB.'!C122</f>
        <v>0.4</v>
      </c>
      <c r="D28" s="324">
        <f>'5 VALORACIÓN CONTROL PROBAB.'!V122</f>
        <v>0.14399999999999999</v>
      </c>
      <c r="E28" s="324" t="str">
        <f t="shared" si="0"/>
        <v>Baja</v>
      </c>
      <c r="F28" s="324" t="str">
        <f t="shared" si="1"/>
        <v>Leve</v>
      </c>
      <c r="G28" s="172" t="str">
        <f t="shared" si="2"/>
        <v>Bajo</v>
      </c>
    </row>
    <row r="29" spans="1:38" ht="51" customHeight="1" x14ac:dyDescent="0.25">
      <c r="A29" s="118" t="str">
        <f>'2 CONTEXTO E IDENTIFICACIÓN'!A29</f>
        <v>R21</v>
      </c>
      <c r="B29" s="172" t="str">
        <f>+'2 CONTEXTO E IDENTIFICACIÓN'!J29</f>
        <v>Posibilidad de afectación reputacional por baja alineación de las prioridades de los cooperantes internacionales con las prioridades definidas en la ENCI 2023-2027 a causa de la debilidad en el posicionamiento de APC-Colombia como coordinador técnico de la AOD no reembolsable que recibe el país.</v>
      </c>
      <c r="C29" s="323">
        <f>'5 VALORACIÓN CONTROL PROBAB.'!C128</f>
        <v>0.6</v>
      </c>
      <c r="D29" s="324">
        <f>'5 VALORACIÓN CONTROL PROBAB.'!V128</f>
        <v>0.216</v>
      </c>
      <c r="E29" s="324" t="str">
        <f t="shared" ref="E29:E39" si="3">+IF(C29=0,"",IF(C29&lt;=$R$13,$S$13,IF(C29&lt;=$R$12,$S$12,IF(C29&lt;=$R$11,$S$11,IF(C29&lt;=$R$10,$S$10,IF(C29&lt;=$R$9,$S$9,""))))))</f>
        <v>Media</v>
      </c>
      <c r="F29" s="324" t="str">
        <f t="shared" ref="F29:F39" si="4">+IF(D29=0,"",IF(D29&lt;=$T$7,$T$8,IF(D29&lt;=$U$7,$U$8,IF(D29&lt;=$V$7,$V$8,IF(D29&lt;=$W$7,$W$8,IF(D29&lt;=$X$7,$X$8,""))))))</f>
        <v>Menor</v>
      </c>
      <c r="G29" s="172" t="str">
        <f t="shared" ref="G29:G39" si="5">+IF(E29=$S$9,IF(F29=$T$8,$T$9,IF(F29=$U$8,$U$9,IF(F29=$V$8,$V$9,IF(F29=$W$8,$W$9,IF(F29=$X$8,$X$9))))),IF(E29=$S$10,IF(F29=$T$8,$T$10,IF(F29=$U$8,$U$10,IF(F29=$V$8,$V$10,IF(F29=$W$8,$W$10,IF(F29=$X$8,$X$10))))),IF(E29=$S$11,IF(F29=$T$8,$T$11,IF(F29=$U$8,$U$11,IF(F29=$V$8,$V$11,IF(F29=$W$8,$W$11,IF(F29=$X$8,$X$11))))),IF(E29=$S$12,IF(F29=$T$8,$T$12,IF(F29=$U$8,$U$12,IF(F29=$V$8,$V$12,IF(F29=$W$8,$W$12,IF(F29=$X$8,$X$12))))),IF(E29=$S$13,IF(F29=$T$8,$T$13,IF(F29=$U$8,$U$13,IF(F29=$V$8,$V$13,IF(F29=$W$8,$W$13,IF(F29=$X$8,$X$13))))),"")))))</f>
        <v>Moderado</v>
      </c>
    </row>
    <row r="30" spans="1:38" ht="51" customHeight="1" x14ac:dyDescent="0.25">
      <c r="A30" s="118" t="str">
        <f>'2 CONTEXTO E IDENTIFICACIÓN'!A30</f>
        <v>R22</v>
      </c>
      <c r="B30" s="172" t="str">
        <f>+'2 CONTEXTO E IDENTIFICACIÓN'!J30</f>
        <v>Posibilidad de afectación reputacional por divulgación de información errada de la cooperación internacional recibida por Colombia y a la que puede acceder el país. a causa de   fallas en el sistema de información de la cooperación internacional (CICLOPE) y/o fallas en la validación de la información registrada.</v>
      </c>
      <c r="C30" s="323">
        <f>'5 VALORACIÓN CONTROL PROBAB.'!C134</f>
        <v>0.6</v>
      </c>
      <c r="D30" s="324">
        <f>'5 VALORACIÓN CONTROL PROBAB.'!V134</f>
        <v>7.7759999999999996E-2</v>
      </c>
      <c r="E30" s="324" t="str">
        <f t="shared" si="3"/>
        <v>Media</v>
      </c>
      <c r="F30" s="324" t="str">
        <f t="shared" si="4"/>
        <v>Leve</v>
      </c>
      <c r="G30" s="172" t="str">
        <f t="shared" si="5"/>
        <v>Moderado</v>
      </c>
    </row>
    <row r="31" spans="1:38" ht="51" customHeight="1" x14ac:dyDescent="0.25">
      <c r="A31" s="118" t="str">
        <f>'2 CONTEXTO E IDENTIFICACIÓN'!A31</f>
        <v>R23</v>
      </c>
      <c r="B31" s="172" t="str">
        <f>+'2 CONTEXTO E IDENTIFICACIÓN'!J31</f>
        <v>Posibilidad de afectación reputacional por obtener beneficios tributarios  a causa de que no cumplen con los requisitos del Decreto 1651 de 2021</v>
      </c>
      <c r="C31" s="323">
        <f>'5 VALORACIÓN CONTROL PROBAB.'!C140</f>
        <v>0.4</v>
      </c>
      <c r="D31" s="324">
        <f>'5 VALORACIÓN CONTROL PROBAB.'!V140</f>
        <v>8.6399999999999991E-2</v>
      </c>
      <c r="E31" s="324" t="str">
        <f t="shared" si="3"/>
        <v>Baja</v>
      </c>
      <c r="F31" s="324" t="str">
        <f t="shared" si="4"/>
        <v>Leve</v>
      </c>
      <c r="G31" s="172" t="str">
        <f t="shared" si="5"/>
        <v>Bajo</v>
      </c>
    </row>
    <row r="32" spans="1:38" ht="51" customHeight="1" x14ac:dyDescent="0.25">
      <c r="A32" s="118" t="str">
        <f>'2 CONTEXTO E IDENTIFICACIÓN'!A32</f>
        <v>R24</v>
      </c>
      <c r="B32" s="172" t="str">
        <f>+'2 CONTEXTO E IDENTIFICACIÓN'!J32</f>
        <v>Posibilidad de afectación económica y reputacional porsanción, multa o penalidad a causa de   la indebida supervisión de los contratos o convenios suscritos</v>
      </c>
      <c r="C32" s="323">
        <f>'5 VALORACIÓN CONTROL PROBAB.'!C146</f>
        <v>0.6</v>
      </c>
      <c r="D32" s="324">
        <f>'5 VALORACIÓN CONTROL PROBAB.'!V146</f>
        <v>0.12959999999999999</v>
      </c>
      <c r="E32" s="324" t="str">
        <f t="shared" si="3"/>
        <v>Media</v>
      </c>
      <c r="F32" s="324" t="str">
        <f t="shared" si="4"/>
        <v>Leve</v>
      </c>
      <c r="G32" s="172" t="str">
        <f t="shared" si="5"/>
        <v>Moderado</v>
      </c>
    </row>
    <row r="33" spans="1:7" ht="51" customHeight="1" x14ac:dyDescent="0.25">
      <c r="A33" s="118" t="str">
        <f>'2 CONTEXTO E IDENTIFICACIÓN'!A33</f>
        <v>R25</v>
      </c>
      <c r="B33" s="172" t="str">
        <f>+'2 CONTEXTO E IDENTIFICACIÓN'!J33</f>
        <v>Posibilidad de afectación económica y reputacional por una sanción de las autoridades competentes a causa de  favorecimiento indebido a un tercero con los recursos asignados de contrapartida</v>
      </c>
      <c r="C33" s="323">
        <f>'5 VALORACIÓN CONTROL PROBAB.'!C152</f>
        <v>0.4</v>
      </c>
      <c r="D33" s="324">
        <f>'5 VALORACIÓN CONTROL PROBAB.'!V152</f>
        <v>0.24</v>
      </c>
      <c r="E33" s="324" t="str">
        <f t="shared" si="3"/>
        <v>Baja</v>
      </c>
      <c r="F33" s="324" t="str">
        <f t="shared" si="4"/>
        <v>Menor</v>
      </c>
      <c r="G33" s="172" t="str">
        <f t="shared" si="5"/>
        <v>Moderado</v>
      </c>
    </row>
    <row r="34" spans="1:7" ht="51" customHeight="1" x14ac:dyDescent="0.25">
      <c r="A34" s="118" t="str">
        <f>'2 CONTEXTO E IDENTIFICACIÓN'!A34</f>
        <v>R26</v>
      </c>
      <c r="B34" s="172" t="str">
        <f>+'2 CONTEXTO E IDENTIFICACIÓN'!J34</f>
        <v>Posibilidad de afectación económica y reputacional por una sanción de las autoridades competentes a causa de  la destinación indebida de los recursos asignados a una iniciativa de contrapartidas, durante su fase de ejecución</v>
      </c>
      <c r="C34" s="323">
        <f>'5 VALORACIÓN CONTROL PROBAB.'!C158</f>
        <v>0.4</v>
      </c>
      <c r="D34" s="324">
        <f>'5 VALORACIÓN CONTROL PROBAB.'!V158</f>
        <v>0.24</v>
      </c>
      <c r="E34" s="324" t="str">
        <f t="shared" si="3"/>
        <v>Baja</v>
      </c>
      <c r="F34" s="324" t="str">
        <f t="shared" si="4"/>
        <v>Menor</v>
      </c>
      <c r="G34" s="172" t="str">
        <f t="shared" si="5"/>
        <v>Moderado</v>
      </c>
    </row>
    <row r="35" spans="1:7" ht="51" customHeight="1" x14ac:dyDescent="0.25">
      <c r="A35" s="118" t="str">
        <f>'2 CONTEXTO E IDENTIFICACIÓN'!A35</f>
        <v>R27</v>
      </c>
      <c r="B35" s="172" t="str">
        <f>+'2 CONTEXTO E IDENTIFICACIÓN'!J35</f>
        <v>Posibilidad de afectación económica y reputacional porPérdida, desvió y/o destinación indebida de los recursos asignados a la caja menor a causa de  incumplimiento de los lineamientos establecidos por la Agencia para la administración de la caja menor</v>
      </c>
      <c r="C35" s="323">
        <f>'5 VALORACIÓN CONTROL PROBAB.'!C164</f>
        <v>0.6</v>
      </c>
      <c r="D35" s="324">
        <f>'5 VALORACIÓN CONTROL PROBAB.'!V164</f>
        <v>0.36</v>
      </c>
      <c r="E35" s="324" t="str">
        <f t="shared" si="3"/>
        <v>Media</v>
      </c>
      <c r="F35" s="324" t="str">
        <f t="shared" si="4"/>
        <v>Menor</v>
      </c>
      <c r="G35" s="172" t="str">
        <f t="shared" si="5"/>
        <v>Moderado</v>
      </c>
    </row>
    <row r="36" spans="1:7" ht="51" customHeight="1" x14ac:dyDescent="0.25">
      <c r="A36" s="118" t="str">
        <f>'2 CONTEXTO E IDENTIFICACIÓN'!A36</f>
        <v>R28</v>
      </c>
      <c r="B36" s="172" t="str">
        <f>+'2 CONTEXTO E IDENTIFICACIÓN'!J36</f>
        <v>Posibilidad de afectación económica y reputacional por revocatoria de nombramiento y sanciones disciplinarias  a causa de incumplimiento en la verificación y  certificación de requisitos exigidos para el desempeño del empleo público</v>
      </c>
      <c r="C36" s="323">
        <f>'5 VALORACIÓN CONTROL PROBAB.'!C170</f>
        <v>0.6</v>
      </c>
      <c r="D36" s="324">
        <f>'5 VALORACIÓN CONTROL PROBAB.'!V170</f>
        <v>0.36</v>
      </c>
      <c r="E36" s="324" t="str">
        <f t="shared" si="3"/>
        <v>Media</v>
      </c>
      <c r="F36" s="324" t="str">
        <f t="shared" si="4"/>
        <v>Menor</v>
      </c>
      <c r="G36" s="172" t="str">
        <f t="shared" si="5"/>
        <v>Moderado</v>
      </c>
    </row>
    <row r="37" spans="1:7" ht="51" customHeight="1" x14ac:dyDescent="0.25">
      <c r="A37" s="118" t="str">
        <f>'2 CONTEXTO E IDENTIFICACIÓN'!A37</f>
        <v>R29</v>
      </c>
      <c r="B37" s="172" t="str">
        <f>+'2 CONTEXTO E IDENTIFICACIÓN'!J37</f>
        <v>Posibilidad de afectación económica y reputacional por la reclamación  del donante a causa de ausencia en el seguimiento frente a la entrega final de la donación realizada por el donante</v>
      </c>
      <c r="C37" s="323">
        <f>'5 VALORACIÓN CONTROL PROBAB.'!C176</f>
        <v>0.4</v>
      </c>
      <c r="D37" s="324">
        <f>'5 VALORACIÓN CONTROL PROBAB.'!V176</f>
        <v>0.24</v>
      </c>
      <c r="E37" s="324" t="str">
        <f t="shared" si="3"/>
        <v>Baja</v>
      </c>
      <c r="F37" s="324" t="str">
        <f t="shared" si="4"/>
        <v>Menor</v>
      </c>
      <c r="G37" s="172" t="str">
        <f t="shared" si="5"/>
        <v>Moderado</v>
      </c>
    </row>
    <row r="38" spans="1:7" ht="51" customHeight="1" x14ac:dyDescent="0.25">
      <c r="A38" s="118" t="str">
        <f>'2 CONTEXTO E IDENTIFICACIÓN'!A38</f>
        <v>R30</v>
      </c>
      <c r="B38" s="172" t="str">
        <f>+'2 CONTEXTO E IDENTIFICACIÓN'!J38</f>
        <v>Posibilidad de afectación económica y reputacional porla desviación de los recursos financieros consignados en las cuentas bancarias autorizadas para la Agencia  a causa de incumplimiento en la aplicación del protocolo de seguridad y manejo cuentas autorizadas por el Ministerio de Hacienda</v>
      </c>
      <c r="C38" s="323">
        <f>'5 VALORACIÓN CONTROL PROBAB.'!C182</f>
        <v>0.4</v>
      </c>
      <c r="D38" s="324">
        <f>'5 VALORACIÓN CONTROL PROBAB.'!V182</f>
        <v>0.14399999999999999</v>
      </c>
      <c r="E38" s="324" t="str">
        <f t="shared" si="3"/>
        <v>Baja</v>
      </c>
      <c r="F38" s="324" t="str">
        <f t="shared" si="4"/>
        <v>Leve</v>
      </c>
      <c r="G38" s="172" t="str">
        <f t="shared" si="5"/>
        <v>Bajo</v>
      </c>
    </row>
    <row r="39" spans="1:7" ht="51" customHeight="1" x14ac:dyDescent="0.25">
      <c r="A39" s="118" t="str">
        <f>'2 CONTEXTO E IDENTIFICACIÓN'!A39</f>
        <v>R31</v>
      </c>
      <c r="B39" s="172" t="str">
        <f>+'2 CONTEXTO E IDENTIFICACIÓN'!J39</f>
        <v>Posibilidad de afectación económica y reputacional por la insuficiencia de controles adecuados para el registro de cuentas por pagar y obligaciones a causa de  la falta de seguimiento y control por parte de los supervisores de contrato u orden de compra</v>
      </c>
      <c r="C39" s="323">
        <f>'5 VALORACIÓN CONTROL PROBAB.'!C188</f>
        <v>0.4</v>
      </c>
      <c r="D39" s="324">
        <f>'5 VALORACIÓN CONTROL PROBAB.'!V188</f>
        <v>0.24</v>
      </c>
      <c r="E39" s="324" t="str">
        <f t="shared" si="3"/>
        <v>Baja</v>
      </c>
      <c r="F39" s="324" t="str">
        <f t="shared" si="4"/>
        <v>Menor</v>
      </c>
      <c r="G39" s="172" t="str">
        <f t="shared" si="5"/>
        <v>Moderado</v>
      </c>
    </row>
  </sheetData>
  <sheetProtection formatCells="0" formatColumns="0" formatRows="0" sort="0" autoFilter="0" pivotTables="0"/>
  <dataConsolidate/>
  <mergeCells count="12">
    <mergeCell ref="E7:G7"/>
    <mergeCell ref="K7:O7"/>
    <mergeCell ref="I9:I13"/>
    <mergeCell ref="Q9:Q13"/>
    <mergeCell ref="A1:A2"/>
    <mergeCell ref="B1:B2"/>
    <mergeCell ref="I6:O6"/>
    <mergeCell ref="B4:D4"/>
    <mergeCell ref="B5:D5"/>
    <mergeCell ref="C1:D1"/>
    <mergeCell ref="K5:V5"/>
    <mergeCell ref="T6:X6"/>
  </mergeCells>
  <conditionalFormatting sqref="D9:E39">
    <cfRule type="cellIs" dxfId="39" priority="1" operator="equal">
      <formula>$S$13</formula>
    </cfRule>
    <cfRule type="cellIs" dxfId="38" priority="2" operator="equal">
      <formula>$S$12</formula>
    </cfRule>
    <cfRule type="cellIs" dxfId="37" priority="3" operator="equal">
      <formula>$S$11</formula>
    </cfRule>
    <cfRule type="cellIs" dxfId="36" priority="4" operator="equal">
      <formula>$S$10</formula>
    </cfRule>
    <cfRule type="cellIs" dxfId="35" priority="5" operator="equal">
      <formula>$S$9</formula>
    </cfRule>
  </conditionalFormatting>
  <conditionalFormatting sqref="F9:F39">
    <cfRule type="cellIs" dxfId="34" priority="6" operator="equal">
      <formula>$T$8</formula>
    </cfRule>
    <cfRule type="cellIs" dxfId="33" priority="7" operator="equal">
      <formula>$U$8</formula>
    </cfRule>
    <cfRule type="cellIs" dxfId="32" priority="8" operator="equal">
      <formula>$V$8</formula>
    </cfRule>
    <cfRule type="cellIs" dxfId="31" priority="9" operator="equal">
      <formula>$W$8</formula>
    </cfRule>
    <cfRule type="cellIs" dxfId="30" priority="10" operator="equal">
      <formula>$X$8</formula>
    </cfRule>
  </conditionalFormatting>
  <conditionalFormatting sqref="G9:G39">
    <cfRule type="cellIs" dxfId="29" priority="274" operator="equal">
      <formula>$J$16</formula>
    </cfRule>
    <cfRule type="cellIs" dxfId="28" priority="275" operator="equal">
      <formula>$J$17</formula>
    </cfRule>
    <cfRule type="cellIs" dxfId="27" priority="276" operator="equal">
      <formula>$J$18</formula>
    </cfRule>
    <cfRule type="cellIs" dxfId="26" priority="277" operator="equal">
      <formula>$J$19</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8:JJ8"/>
    <dataValidation allowBlank="1" showInputMessage="1" showErrorMessage="1" prompt="La probabilidad se encuentra determinada por una escala de 1 a 3, siendo 1 la menor probabilidad de ocurrencia del riesgo y 3 la mayor probabilidad de  ocurrencia." sqref="JC8"/>
    <dataValidation type="list" allowBlank="1" showInputMessage="1" showErrorMessage="1" sqref="JD9:JJ16">
      <formula1>#REF!</formula1>
    </dataValidation>
  </dataValidations>
  <printOptions horizontalCentered="1" verticalCentered="1"/>
  <pageMargins left="0.78740157480314965" right="0.78740157480314965" top="0.78740157480314965" bottom="0.78740157480314965" header="0.39370078740157483" footer="0.39370078740157483"/>
  <pageSetup paperSize="5" scale="49" orientation="landscape" r:id="rId1"/>
  <headerFooter alignWithMargins="0">
    <oddHeader>&amp;L
&amp;"Arial,Negrita"&amp;12MAPA DE RIESGOS &amp;"Arial,Normal"
Código: E-FO-017 | Versión: 13 | Fecha: Enero 29 de 2026&amp;"-,Normal"&amp;11
&amp;C&amp;G</oddHeader>
    <oddFooter xml:space="preserve">&amp;L&amp;"Arial,Normal"&amp;12Teléfono: (+57) 601 601 2424 | Línea gratuita: 01 8000 41 37 95 | Código postal: 110221
Dirección: Carrera 10 No. 97A - 13, Torre A, Piso 6 | Bogotá D.C., Colombia 
www.apccolombia.gov.co
Página: &amp;P/&amp;N
</oddFooter>
  </headerFooter>
  <rowBreaks count="2" manualBreakCount="2">
    <brk id="14" max="16383" man="1"/>
    <brk id="26" max="16383" man="1"/>
  </rowBreaks>
  <colBreaks count="1" manualBreakCount="1">
    <brk id="24" max="1048575" man="1"/>
  </colBreaks>
  <drawing r:id="rId2"/>
  <legacy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H72"/>
  <sheetViews>
    <sheetView showGridLines="0" zoomScale="55" zoomScaleNormal="55" workbookViewId="0">
      <selection activeCell="I23" sqref="I23"/>
    </sheetView>
  </sheetViews>
  <sheetFormatPr baseColWidth="10" defaultColWidth="0" defaultRowHeight="15" zeroHeight="1" x14ac:dyDescent="0.25"/>
  <cols>
    <col min="1" max="1" width="11.42578125" style="81" customWidth="1"/>
    <col min="2" max="2" width="9.140625" style="81" bestFit="1" customWidth="1"/>
    <col min="3" max="7" width="15.42578125" style="81" customWidth="1"/>
    <col min="8" max="10" width="15" style="81" customWidth="1"/>
    <col min="11" max="15" width="14.85546875" style="81" customWidth="1"/>
    <col min="16" max="16" width="3.85546875" style="81" customWidth="1"/>
    <col min="17" max="17" width="4.85546875" style="81" hidden="1" customWidth="1"/>
    <col min="18" max="18" width="6.140625" style="81" hidden="1" customWidth="1"/>
    <col min="19" max="24" width="14" style="81" hidden="1" customWidth="1"/>
    <col min="25" max="29" width="11.42578125" style="81" customWidth="1"/>
    <col min="30" max="30" width="5.42578125" style="81" bestFit="1" customWidth="1"/>
    <col min="31" max="31" width="26.85546875" style="81" customWidth="1"/>
    <col min="32" max="32" width="22.85546875" style="81" customWidth="1"/>
    <col min="33" max="36" width="22.85546875" style="81" hidden="1" customWidth="1"/>
    <col min="37" max="37" width="23.42578125" style="81" hidden="1" customWidth="1"/>
    <col min="38" max="265" width="11.42578125" style="81" hidden="1" customWidth="1"/>
    <col min="266" max="266" width="12.42578125" style="81" hidden="1" customWidth="1"/>
    <col min="267" max="267" width="47" style="81" hidden="1" customWidth="1"/>
    <col min="268" max="268" width="35" style="81" hidden="1" customWidth="1"/>
    <col min="269" max="16384" width="14.42578125" style="81" hidden="1"/>
  </cols>
  <sheetData>
    <row r="1" spans="1:38" s="84" customFormat="1" ht="36" customHeight="1" x14ac:dyDescent="0.25">
      <c r="A1" s="77"/>
      <c r="B1" s="53" t="str">
        <f>+'2 CONTEXTO E IDENTIFICACIÓN'!A1</f>
        <v>MAPA DE RIESGOS</v>
      </c>
      <c r="C1" s="53"/>
      <c r="D1" s="53"/>
      <c r="E1" s="78"/>
      <c r="F1" s="79"/>
      <c r="J1" s="195" t="str">
        <f>+'2 CONTEXTO E IDENTIFICACIÓN'!$I$4</f>
        <v>Elaboración o Actualización:</v>
      </c>
      <c r="K1" s="86">
        <f>'2 CONTEXTO E IDENTIFICACIÓN'!J4</f>
        <v>0</v>
      </c>
      <c r="L1" s="80"/>
      <c r="M1" s="80"/>
    </row>
    <row r="2" spans="1:38" s="84" customFormat="1" ht="36" customHeight="1" x14ac:dyDescent="0.25">
      <c r="A2" s="77"/>
      <c r="B2" s="53"/>
      <c r="C2" s="53"/>
      <c r="D2" s="53"/>
      <c r="E2" s="83" t="str">
        <f>+'2 CONTEXTO E IDENTIFICACIÓN'!A2</f>
        <v>VERSIÓN:</v>
      </c>
      <c r="F2" s="83">
        <f>'2 CONTEXTO E IDENTIFICACIÓN'!B2</f>
        <v>1</v>
      </c>
      <c r="G2" s="54"/>
      <c r="H2" s="54"/>
      <c r="J2" s="83" t="str">
        <f>+'2 CONTEXTO E IDENTIFICACIÓN'!$E$5</f>
        <v xml:space="preserve">Vigencia: </v>
      </c>
      <c r="K2" s="86">
        <f>'2 CONTEXTO E IDENTIFICACIÓN'!G5</f>
        <v>46023</v>
      </c>
      <c r="L2" s="94" t="s">
        <v>61</v>
      </c>
      <c r="M2" s="86">
        <f>'2 CONTEXTO E IDENTIFICACIÓN'!J5</f>
        <v>46387</v>
      </c>
      <c r="N2" s="54"/>
      <c r="O2" s="54"/>
      <c r="P2" s="54"/>
    </row>
    <row r="3" spans="1:38" s="84" customFormat="1" ht="15.75" x14ac:dyDescent="0.25">
      <c r="B3" s="54"/>
      <c r="C3" s="54"/>
      <c r="D3" s="54"/>
      <c r="E3" s="87"/>
      <c r="F3" s="87"/>
      <c r="G3" s="54"/>
      <c r="H3" s="54"/>
      <c r="N3" s="54"/>
      <c r="O3" s="54"/>
      <c r="P3" s="54"/>
    </row>
    <row r="4" spans="1:38" s="84" customFormat="1" ht="71.25" customHeight="1" x14ac:dyDescent="0.25">
      <c r="A4" s="90" t="s">
        <v>55</v>
      </c>
      <c r="B4" s="95" t="str">
        <f>'2 CONTEXTO E IDENTIFICACIÓN'!B4</f>
        <v>AGENCIA PRESIDENCIAL DE COOPERACIÓN INTERNACIONAL DE COLOMBIA APC COLOMBIA</v>
      </c>
      <c r="C4" s="95"/>
      <c r="D4" s="95"/>
      <c r="E4" s="99"/>
      <c r="F4" s="87"/>
      <c r="G4" s="54"/>
      <c r="H4" s="54"/>
      <c r="I4" s="108"/>
      <c r="J4" s="108"/>
      <c r="K4" s="99"/>
      <c r="L4" s="99"/>
      <c r="M4" s="99"/>
      <c r="N4" s="54"/>
      <c r="O4" s="54"/>
      <c r="P4" s="54"/>
    </row>
    <row r="5" spans="1:38" s="84" customFormat="1" ht="33" customHeight="1" x14ac:dyDescent="0.25">
      <c r="A5" s="90" t="s">
        <v>57</v>
      </c>
      <c r="B5" s="95">
        <f>'2 CONTEXTO E IDENTIFICACIÓN'!F4</f>
        <v>0</v>
      </c>
      <c r="C5" s="96"/>
      <c r="D5" s="96"/>
      <c r="E5" s="99"/>
      <c r="F5" s="87"/>
      <c r="G5" s="54"/>
      <c r="H5" s="54"/>
      <c r="I5" s="108"/>
      <c r="J5" s="108"/>
      <c r="K5" s="99"/>
      <c r="L5" s="99"/>
      <c r="M5" s="99"/>
      <c r="N5" s="54"/>
      <c r="O5" s="54"/>
      <c r="P5" s="54"/>
    </row>
    <row r="6" spans="1:38" s="84" customFormat="1" ht="16.5" thickBot="1" x14ac:dyDescent="0.3">
      <c r="D6" s="99"/>
      <c r="E6" s="99"/>
      <c r="F6" s="54"/>
    </row>
    <row r="7" spans="1:38" s="84" customFormat="1" ht="16.5" thickBot="1" x14ac:dyDescent="0.3">
      <c r="A7" s="350" t="s">
        <v>349</v>
      </c>
      <c r="B7" s="351"/>
      <c r="C7" s="351"/>
      <c r="D7" s="351"/>
      <c r="E7" s="351"/>
      <c r="F7" s="351"/>
      <c r="G7" s="352"/>
      <c r="I7" s="350" t="s">
        <v>459</v>
      </c>
      <c r="J7" s="351"/>
      <c r="K7" s="351"/>
      <c r="L7" s="351"/>
      <c r="M7" s="351"/>
      <c r="N7" s="351"/>
      <c r="O7" s="352"/>
      <c r="R7" s="305"/>
      <c r="S7" s="306"/>
      <c r="T7" s="312" t="s">
        <v>224</v>
      </c>
      <c r="U7" s="312"/>
      <c r="V7" s="312"/>
      <c r="W7" s="312"/>
      <c r="X7" s="313"/>
    </row>
    <row r="8" spans="1:38" ht="15.75" x14ac:dyDescent="0.25">
      <c r="A8" s="310"/>
      <c r="B8" s="311"/>
      <c r="C8" s="312" t="s">
        <v>224</v>
      </c>
      <c r="D8" s="312"/>
      <c r="E8" s="312"/>
      <c r="F8" s="312"/>
      <c r="G8" s="313"/>
      <c r="H8" s="108"/>
      <c r="I8" s="310"/>
      <c r="J8" s="311"/>
      <c r="K8" s="312" t="s">
        <v>224</v>
      </c>
      <c r="L8" s="312"/>
      <c r="M8" s="312"/>
      <c r="N8" s="312"/>
      <c r="O8" s="313"/>
      <c r="P8" s="108"/>
      <c r="R8" s="314"/>
      <c r="T8" s="315">
        <v>0.2</v>
      </c>
      <c r="U8" s="315">
        <v>0.4</v>
      </c>
      <c r="V8" s="315">
        <v>0.6</v>
      </c>
      <c r="W8" s="315">
        <v>0.8</v>
      </c>
      <c r="X8" s="316">
        <v>1</v>
      </c>
      <c r="Y8" s="317"/>
      <c r="Z8" s="317"/>
      <c r="AA8" s="317"/>
      <c r="AB8" s="317"/>
      <c r="AC8" s="317"/>
      <c r="AD8" s="317"/>
      <c r="AE8" s="317"/>
    </row>
    <row r="9" spans="1:38" ht="15.75" x14ac:dyDescent="0.25">
      <c r="A9" s="314"/>
      <c r="B9" s="90"/>
      <c r="C9" s="318" t="s">
        <v>323</v>
      </c>
      <c r="D9" s="318" t="s">
        <v>328</v>
      </c>
      <c r="E9" s="318" t="s">
        <v>332</v>
      </c>
      <c r="F9" s="318" t="s">
        <v>336</v>
      </c>
      <c r="G9" s="319" t="s">
        <v>341</v>
      </c>
      <c r="H9" s="108"/>
      <c r="I9" s="314"/>
      <c r="J9" s="90"/>
      <c r="K9" s="318" t="s">
        <v>323</v>
      </c>
      <c r="L9" s="318" t="s">
        <v>328</v>
      </c>
      <c r="M9" s="318" t="s">
        <v>332</v>
      </c>
      <c r="N9" s="318" t="s">
        <v>336</v>
      </c>
      <c r="O9" s="319" t="s">
        <v>341</v>
      </c>
      <c r="P9" s="108"/>
      <c r="R9" s="314"/>
      <c r="S9" s="172"/>
      <c r="T9" s="320" t="s">
        <v>323</v>
      </c>
      <c r="U9" s="320" t="s">
        <v>328</v>
      </c>
      <c r="V9" s="320" t="s">
        <v>332</v>
      </c>
      <c r="W9" s="320" t="s">
        <v>336</v>
      </c>
      <c r="X9" s="321" t="s">
        <v>341</v>
      </c>
      <c r="AA9" s="317"/>
      <c r="AB9" s="317"/>
      <c r="AC9" s="322"/>
      <c r="AD9" s="322"/>
      <c r="AE9" s="322"/>
      <c r="AF9" s="322"/>
      <c r="AG9" s="322"/>
      <c r="AH9" s="322"/>
      <c r="AI9" s="322"/>
      <c r="AJ9" s="322"/>
      <c r="AK9" s="322"/>
      <c r="AL9" s="322"/>
    </row>
    <row r="10" spans="1:38" ht="55.5" customHeight="1" x14ac:dyDescent="0.25">
      <c r="A10" s="325" t="s">
        <v>205</v>
      </c>
      <c r="B10" s="318" t="s">
        <v>339</v>
      </c>
      <c r="C10" s="326" t="str">
        <f>+'4 MAPA CALOR INHERENTE'!I10</f>
        <v xml:space="preserve">                             </v>
      </c>
      <c r="D10" s="326" t="str">
        <f>+'4 MAPA CALOR INHERENTE'!J10</f>
        <v xml:space="preserve">                             </v>
      </c>
      <c r="E10" s="326" t="str">
        <f>+'4 MAPA CALOR INHERENTE'!K10</f>
        <v xml:space="preserve">                             </v>
      </c>
      <c r="F10" s="326" t="str">
        <f>+'4 MAPA CALOR INHERENTE'!L10</f>
        <v xml:space="preserve">                             </v>
      </c>
      <c r="G10" s="327" t="str">
        <f>+'4 MAPA CALOR INHERENTE'!M10</f>
        <v xml:space="preserve">                             </v>
      </c>
      <c r="I10" s="325" t="s">
        <v>205</v>
      </c>
      <c r="J10" s="318" t="s">
        <v>339</v>
      </c>
      <c r="K10" s="326" t="str">
        <f>+'6 MAPA CALOR RESIDUAL'!K9</f>
        <v xml:space="preserve">                              </v>
      </c>
      <c r="L10" s="326" t="str">
        <f>+'6 MAPA CALOR RESIDUAL'!L9</f>
        <v xml:space="preserve">                              </v>
      </c>
      <c r="M10" s="326" t="str">
        <f>+'6 MAPA CALOR RESIDUAL'!M9</f>
        <v xml:space="preserve">                              </v>
      </c>
      <c r="N10" s="326" t="str">
        <f>+'6 MAPA CALOR RESIDUAL'!N9</f>
        <v xml:space="preserve">                              </v>
      </c>
      <c r="O10" s="327" t="str">
        <f>+'6 MAPA CALOR RESIDUAL'!O9</f>
        <v xml:space="preserve">                              </v>
      </c>
      <c r="Q10" s="353" t="s">
        <v>205</v>
      </c>
      <c r="R10" s="329">
        <v>1</v>
      </c>
      <c r="S10" s="320" t="s">
        <v>339</v>
      </c>
      <c r="T10" s="326" t="s">
        <v>354</v>
      </c>
      <c r="U10" s="326" t="s">
        <v>354</v>
      </c>
      <c r="V10" s="326" t="s">
        <v>354</v>
      </c>
      <c r="W10" s="326" t="s">
        <v>354</v>
      </c>
      <c r="X10" s="327" t="s">
        <v>355</v>
      </c>
      <c r="AA10" s="317"/>
      <c r="AB10" s="317"/>
      <c r="AC10" s="322"/>
      <c r="AD10" s="322"/>
      <c r="AE10" s="322"/>
      <c r="AF10" s="322"/>
      <c r="AG10" s="322"/>
      <c r="AH10" s="322"/>
      <c r="AI10" s="322"/>
      <c r="AJ10" s="322"/>
      <c r="AK10" s="322"/>
      <c r="AL10" s="322"/>
    </row>
    <row r="11" spans="1:38" ht="55.5" customHeight="1" x14ac:dyDescent="0.25">
      <c r="A11" s="325"/>
      <c r="B11" s="318" t="s">
        <v>334</v>
      </c>
      <c r="C11" s="330" t="str">
        <f>+'4 MAPA CALOR INHERENTE'!I11</f>
        <v xml:space="preserve">                             </v>
      </c>
      <c r="D11" s="330" t="str">
        <f>+'4 MAPA CALOR INHERENTE'!J11</f>
        <v xml:space="preserve">                             </v>
      </c>
      <c r="E11" s="326" t="str">
        <f>+'4 MAPA CALOR INHERENTE'!K11</f>
        <v xml:space="preserve">             R15                </v>
      </c>
      <c r="F11" s="326" t="str">
        <f>+'4 MAPA CALOR INHERENTE'!L11</f>
        <v xml:space="preserve">                             </v>
      </c>
      <c r="G11" s="327" t="str">
        <f>+'4 MAPA CALOR INHERENTE'!M11</f>
        <v xml:space="preserve">                             </v>
      </c>
      <c r="I11" s="325"/>
      <c r="J11" s="318" t="s">
        <v>334</v>
      </c>
      <c r="K11" s="330" t="str">
        <f>+'6 MAPA CALOR RESIDUAL'!K10</f>
        <v xml:space="preserve">                              </v>
      </c>
      <c r="L11" s="330" t="str">
        <f>+'6 MAPA CALOR RESIDUAL'!L10</f>
        <v xml:space="preserve">                              </v>
      </c>
      <c r="M11" s="326" t="str">
        <f>+'6 MAPA CALOR RESIDUAL'!M10</f>
        <v xml:space="preserve">              R15                </v>
      </c>
      <c r="N11" s="326" t="str">
        <f>+'6 MAPA CALOR RESIDUAL'!N10</f>
        <v xml:space="preserve">                              </v>
      </c>
      <c r="O11" s="327" t="str">
        <f>+'6 MAPA CALOR RESIDUAL'!O10</f>
        <v xml:space="preserve">                              </v>
      </c>
      <c r="Q11" s="353"/>
      <c r="R11" s="329">
        <v>0.8</v>
      </c>
      <c r="S11" s="320" t="s">
        <v>334</v>
      </c>
      <c r="T11" s="330" t="s">
        <v>332</v>
      </c>
      <c r="U11" s="330" t="s">
        <v>332</v>
      </c>
      <c r="V11" s="326" t="s">
        <v>354</v>
      </c>
      <c r="W11" s="326" t="s">
        <v>354</v>
      </c>
      <c r="X11" s="327" t="s">
        <v>355</v>
      </c>
      <c r="AA11" s="317"/>
      <c r="AB11" s="317"/>
      <c r="AC11" s="322"/>
      <c r="AD11" s="332"/>
      <c r="AE11" s="333"/>
      <c r="AF11" s="322"/>
      <c r="AG11" s="322"/>
      <c r="AH11" s="322"/>
      <c r="AI11" s="322"/>
      <c r="AJ11" s="322"/>
      <c r="AK11" s="322"/>
      <c r="AL11" s="322"/>
    </row>
    <row r="12" spans="1:38" ht="55.5" customHeight="1" x14ac:dyDescent="0.25">
      <c r="A12" s="325"/>
      <c r="B12" s="318" t="s">
        <v>330</v>
      </c>
      <c r="C12" s="330" t="str">
        <f>+'4 MAPA CALOR INHERENTE'!I12</f>
        <v xml:space="preserve">                             </v>
      </c>
      <c r="D12" s="330" t="str">
        <f>+'4 MAPA CALOR INHERENTE'!J12</f>
        <v xml:space="preserve">  R3                 R21          </v>
      </c>
      <c r="E12" s="330" t="str">
        <f>+'4 MAPA CALOR INHERENTE'!K12</f>
        <v xml:space="preserve">R1   R4 R5 R6  R8    R12 R14     R19   R22  R24   R27 R28   </v>
      </c>
      <c r="F12" s="326" t="str">
        <f>+'4 MAPA CALOR INHERENTE'!L12</f>
        <v xml:space="preserve">                             </v>
      </c>
      <c r="G12" s="327" t="str">
        <f>+'4 MAPA CALOR INHERENTE'!M12</f>
        <v xml:space="preserve">                             </v>
      </c>
      <c r="I12" s="325"/>
      <c r="J12" s="318" t="s">
        <v>330</v>
      </c>
      <c r="K12" s="330" t="str">
        <f>+'6 MAPA CALOR RESIDUAL'!K11</f>
        <v xml:space="preserve">  R3                   R22  R24       </v>
      </c>
      <c r="L12" s="330" t="str">
        <f>+'6 MAPA CALOR RESIDUAL'!L11</f>
        <v xml:space="preserve">   R4 R5 R6  R8    R12 R13 R14     R19  R21      R27 R28   </v>
      </c>
      <c r="M12" s="330" t="str">
        <f>+'6 MAPA CALOR RESIDUAL'!M11</f>
        <v xml:space="preserve">                              </v>
      </c>
      <c r="N12" s="326" t="str">
        <f>+'6 MAPA CALOR RESIDUAL'!N11</f>
        <v xml:space="preserve">                              </v>
      </c>
      <c r="O12" s="327" t="str">
        <f>+'6 MAPA CALOR RESIDUAL'!O11</f>
        <v xml:space="preserve">                              </v>
      </c>
      <c r="Q12" s="353"/>
      <c r="R12" s="329">
        <v>0.6</v>
      </c>
      <c r="S12" s="320" t="s">
        <v>330</v>
      </c>
      <c r="T12" s="330" t="s">
        <v>332</v>
      </c>
      <c r="U12" s="330" t="s">
        <v>332</v>
      </c>
      <c r="V12" s="330" t="s">
        <v>332</v>
      </c>
      <c r="W12" s="326" t="s">
        <v>354</v>
      </c>
      <c r="X12" s="327" t="s">
        <v>355</v>
      </c>
      <c r="AA12" s="317"/>
      <c r="AB12" s="317"/>
      <c r="AC12" s="322"/>
      <c r="AD12" s="332"/>
      <c r="AE12" s="333"/>
      <c r="AF12" s="322"/>
      <c r="AG12" s="322"/>
      <c r="AH12" s="322"/>
      <c r="AI12" s="322"/>
      <c r="AJ12" s="334"/>
      <c r="AK12" s="322"/>
      <c r="AL12" s="322"/>
    </row>
    <row r="13" spans="1:38" ht="55.5" customHeight="1" x14ac:dyDescent="0.25">
      <c r="A13" s="325"/>
      <c r="B13" s="318" t="s">
        <v>326</v>
      </c>
      <c r="C13" s="335" t="str">
        <f>+'4 MAPA CALOR INHERENTE'!I13</f>
        <v xml:space="preserve"> R2                            </v>
      </c>
      <c r="D13" s="330" t="str">
        <f>+'4 MAPA CALOR INHERENTE'!J13</f>
        <v xml:space="preserve">      R7  R9 R10 R11    R16 R17 R18  R20   R23  R25 R26   R29 R30 R31</v>
      </c>
      <c r="E13" s="330" t="str">
        <f>+'4 MAPA CALOR INHERENTE'!K13</f>
        <v xml:space="preserve">                             </v>
      </c>
      <c r="F13" s="326" t="str">
        <f>+'4 MAPA CALOR INHERENTE'!L13</f>
        <v xml:space="preserve">                             </v>
      </c>
      <c r="G13" s="327" t="str">
        <f>+'4 MAPA CALOR INHERENTE'!M13</f>
        <v xml:space="preserve">                             </v>
      </c>
      <c r="I13" s="325"/>
      <c r="J13" s="318" t="s">
        <v>326</v>
      </c>
      <c r="K13" s="335" t="str">
        <f>+'6 MAPA CALOR RESIDUAL'!K12</f>
        <v xml:space="preserve"> R2              R16    R20   R23       R30 </v>
      </c>
      <c r="L13" s="330" t="str">
        <f>+'6 MAPA CALOR RESIDUAL'!L12</f>
        <v xml:space="preserve">      R7  R9 R10 R11      R17 R18       R25 R26   R29  R31</v>
      </c>
      <c r="M13" s="330" t="str">
        <f>+'6 MAPA CALOR RESIDUAL'!M12</f>
        <v xml:space="preserve">R1                              </v>
      </c>
      <c r="N13" s="326" t="str">
        <f>+'6 MAPA CALOR RESIDUAL'!N12</f>
        <v xml:space="preserve">                              </v>
      </c>
      <c r="O13" s="327" t="str">
        <f>+'6 MAPA CALOR RESIDUAL'!O12</f>
        <v xml:space="preserve">                              </v>
      </c>
      <c r="Q13" s="353"/>
      <c r="R13" s="329">
        <v>0.4</v>
      </c>
      <c r="S13" s="320" t="s">
        <v>326</v>
      </c>
      <c r="T13" s="335" t="s">
        <v>356</v>
      </c>
      <c r="U13" s="330" t="s">
        <v>332</v>
      </c>
      <c r="V13" s="330" t="s">
        <v>332</v>
      </c>
      <c r="W13" s="326" t="s">
        <v>354</v>
      </c>
      <c r="X13" s="327" t="s">
        <v>355</v>
      </c>
      <c r="AA13" s="317"/>
      <c r="AB13" s="317"/>
      <c r="AC13" s="322"/>
      <c r="AD13" s="332"/>
      <c r="AE13" s="333"/>
      <c r="AF13" s="322"/>
      <c r="AG13" s="322"/>
      <c r="AH13" s="322"/>
      <c r="AI13" s="334"/>
      <c r="AJ13" s="322"/>
      <c r="AK13" s="322"/>
      <c r="AL13" s="322"/>
    </row>
    <row r="14" spans="1:38" ht="55.5" customHeight="1" thickBot="1" x14ac:dyDescent="0.3">
      <c r="A14" s="336"/>
      <c r="B14" s="337" t="s">
        <v>321</v>
      </c>
      <c r="C14" s="338" t="str">
        <f>+'4 MAPA CALOR INHERENTE'!I14</f>
        <v xml:space="preserve">                             </v>
      </c>
      <c r="D14" s="338" t="str">
        <f>+'4 MAPA CALOR INHERENTE'!J14</f>
        <v xml:space="preserve">                             </v>
      </c>
      <c r="E14" s="339" t="str">
        <f>+'4 MAPA CALOR INHERENTE'!K14</f>
        <v xml:space="preserve">                             </v>
      </c>
      <c r="F14" s="340" t="str">
        <f>+'4 MAPA CALOR INHERENTE'!L14</f>
        <v xml:space="preserve">                             </v>
      </c>
      <c r="G14" s="341" t="str">
        <f>+'4 MAPA CALOR INHERENTE'!M14</f>
        <v xml:space="preserve">                             </v>
      </c>
      <c r="I14" s="336"/>
      <c r="J14" s="337" t="s">
        <v>321</v>
      </c>
      <c r="K14" s="338" t="str">
        <f>+'6 MAPA CALOR RESIDUAL'!K13</f>
        <v xml:space="preserve">                              </v>
      </c>
      <c r="L14" s="338" t="str">
        <f>+'6 MAPA CALOR RESIDUAL'!L13</f>
        <v xml:space="preserve">                              </v>
      </c>
      <c r="M14" s="339" t="str">
        <f>+'6 MAPA CALOR RESIDUAL'!M13</f>
        <v xml:space="preserve">                              </v>
      </c>
      <c r="N14" s="340" t="str">
        <f>+'6 MAPA CALOR RESIDUAL'!N13</f>
        <v xml:space="preserve">                              </v>
      </c>
      <c r="O14" s="341" t="str">
        <f>+'6 MAPA CALOR RESIDUAL'!O13</f>
        <v xml:space="preserve">                              </v>
      </c>
      <c r="Q14" s="353"/>
      <c r="R14" s="343">
        <v>0.2</v>
      </c>
      <c r="S14" s="344" t="s">
        <v>321</v>
      </c>
      <c r="T14" s="338" t="s">
        <v>356</v>
      </c>
      <c r="U14" s="338" t="s">
        <v>356</v>
      </c>
      <c r="V14" s="339" t="s">
        <v>332</v>
      </c>
      <c r="W14" s="340" t="s">
        <v>354</v>
      </c>
      <c r="X14" s="341" t="s">
        <v>355</v>
      </c>
      <c r="AA14" s="317"/>
      <c r="AB14" s="317"/>
      <c r="AC14" s="322"/>
      <c r="AD14" s="332"/>
      <c r="AE14" s="333"/>
      <c r="AF14" s="322"/>
      <c r="AG14" s="322"/>
      <c r="AH14" s="322"/>
      <c r="AI14" s="322"/>
      <c r="AJ14" s="322"/>
      <c r="AK14" s="322"/>
      <c r="AL14" s="322"/>
    </row>
    <row r="15" spans="1:38" ht="15.75" x14ac:dyDescent="0.25">
      <c r="C15" s="142"/>
      <c r="D15" s="247"/>
      <c r="E15" s="247"/>
      <c r="F15" s="247"/>
      <c r="AA15" s="317"/>
      <c r="AB15" s="317"/>
      <c r="AC15" s="322"/>
      <c r="AD15" s="332"/>
      <c r="AE15" s="333"/>
      <c r="AF15" s="322"/>
      <c r="AG15" s="322"/>
      <c r="AH15" s="322"/>
      <c r="AI15" s="322"/>
      <c r="AJ15" s="322"/>
      <c r="AK15" s="322"/>
      <c r="AL15" s="322"/>
    </row>
    <row r="16" spans="1:38" ht="31.5" x14ac:dyDescent="0.25">
      <c r="C16" s="142"/>
      <c r="D16" s="247"/>
      <c r="E16" s="247"/>
      <c r="F16" s="247"/>
      <c r="T16" s="90" t="s">
        <v>357</v>
      </c>
      <c r="V16" s="317"/>
      <c r="W16" s="317"/>
      <c r="X16" s="317"/>
      <c r="Y16" s="317"/>
      <c r="Z16" s="317"/>
      <c r="AA16" s="317"/>
      <c r="AB16" s="317"/>
      <c r="AC16" s="322"/>
      <c r="AD16" s="332"/>
      <c r="AE16" s="322"/>
      <c r="AF16" s="333"/>
      <c r="AG16" s="333"/>
      <c r="AH16" s="333"/>
      <c r="AI16" s="333"/>
      <c r="AJ16" s="333"/>
      <c r="AK16" s="322"/>
      <c r="AL16" s="322"/>
    </row>
    <row r="17" spans="3:38" x14ac:dyDescent="0.25">
      <c r="C17" s="142"/>
      <c r="D17" s="247"/>
      <c r="E17" s="247"/>
      <c r="F17" s="247"/>
      <c r="T17" s="345" t="s">
        <v>355</v>
      </c>
      <c r="V17" s="317"/>
      <c r="W17" s="317"/>
      <c r="X17" s="317"/>
      <c r="Y17" s="317"/>
      <c r="Z17" s="317"/>
      <c r="AA17" s="317"/>
      <c r="AB17" s="317"/>
      <c r="AC17" s="322"/>
      <c r="AD17" s="322"/>
      <c r="AE17" s="322"/>
      <c r="AF17" s="322"/>
      <c r="AG17" s="322"/>
      <c r="AH17" s="322"/>
      <c r="AI17" s="322"/>
      <c r="AJ17" s="322"/>
      <c r="AK17" s="322"/>
      <c r="AL17" s="322"/>
    </row>
    <row r="18" spans="3:38" x14ac:dyDescent="0.25">
      <c r="C18" s="142"/>
      <c r="D18" s="247"/>
      <c r="E18" s="247"/>
      <c r="F18" s="247"/>
      <c r="T18" s="326" t="s">
        <v>354</v>
      </c>
      <c r="U18" s="317"/>
      <c r="V18" s="317"/>
      <c r="W18" s="317"/>
      <c r="X18" s="317"/>
      <c r="Y18" s="317"/>
      <c r="Z18" s="317"/>
      <c r="AA18" s="317"/>
      <c r="AB18" s="317"/>
      <c r="AC18" s="322"/>
      <c r="AD18" s="322"/>
      <c r="AE18" s="322"/>
      <c r="AF18" s="322"/>
      <c r="AG18" s="322"/>
      <c r="AH18" s="322"/>
      <c r="AI18" s="322"/>
      <c r="AJ18" s="322"/>
      <c r="AK18" s="322"/>
      <c r="AL18" s="322"/>
    </row>
    <row r="19" spans="3:38" x14ac:dyDescent="0.25">
      <c r="C19" s="142"/>
      <c r="D19" s="247"/>
      <c r="E19" s="247"/>
      <c r="F19" s="247"/>
      <c r="S19" s="346"/>
      <c r="T19" s="330" t="s">
        <v>332</v>
      </c>
      <c r="U19" s="346"/>
      <c r="V19" s="346"/>
      <c r="W19" s="346"/>
      <c r="X19" s="346"/>
      <c r="Y19" s="346"/>
      <c r="Z19" s="346"/>
      <c r="AA19" s="346"/>
      <c r="AB19" s="346"/>
      <c r="AC19" s="322"/>
      <c r="AD19" s="322"/>
      <c r="AE19" s="347"/>
      <c r="AF19" s="347"/>
      <c r="AG19" s="347"/>
      <c r="AH19" s="347"/>
      <c r="AI19" s="347"/>
      <c r="AJ19" s="347"/>
      <c r="AK19" s="322"/>
      <c r="AL19" s="322"/>
    </row>
    <row r="20" spans="3:38" x14ac:dyDescent="0.25">
      <c r="C20" s="142"/>
      <c r="D20" s="247"/>
      <c r="E20" s="247"/>
      <c r="F20" s="247"/>
      <c r="S20" s="346"/>
      <c r="T20" s="335" t="s">
        <v>356</v>
      </c>
      <c r="AA20" s="346"/>
      <c r="AB20" s="346"/>
      <c r="AC20" s="322"/>
      <c r="AD20" s="322"/>
      <c r="AE20" s="322"/>
      <c r="AF20" s="322"/>
      <c r="AG20" s="322"/>
      <c r="AH20" s="322"/>
      <c r="AI20" s="322"/>
      <c r="AJ20" s="322"/>
      <c r="AK20" s="322"/>
      <c r="AL20" s="322"/>
    </row>
    <row r="21" spans="3:38" x14ac:dyDescent="0.25">
      <c r="C21" s="142"/>
      <c r="D21" s="247"/>
      <c r="E21" s="247"/>
      <c r="F21" s="247"/>
      <c r="Q21" s="348"/>
      <c r="R21" s="348"/>
      <c r="S21" s="346"/>
      <c r="AA21" s="346"/>
      <c r="AB21" s="346"/>
      <c r="AC21" s="322"/>
      <c r="AD21" s="322"/>
      <c r="AE21" s="322"/>
      <c r="AF21" s="322"/>
      <c r="AG21" s="322"/>
      <c r="AH21" s="322"/>
      <c r="AI21" s="322"/>
      <c r="AJ21" s="322"/>
      <c r="AK21" s="322"/>
      <c r="AL21" s="322"/>
    </row>
    <row r="22" spans="3:38" x14ac:dyDescent="0.25">
      <c r="C22" s="142"/>
      <c r="D22" s="247"/>
      <c r="E22" s="247"/>
      <c r="F22" s="247"/>
      <c r="Q22" s="348"/>
      <c r="R22" s="348"/>
      <c r="S22" s="348"/>
      <c r="AA22" s="346"/>
      <c r="AB22" s="346"/>
      <c r="AC22" s="322"/>
      <c r="AD22" s="322"/>
      <c r="AE22" s="322"/>
      <c r="AF22" s="322"/>
      <c r="AG22" s="322"/>
      <c r="AH22" s="322"/>
      <c r="AI22" s="322"/>
      <c r="AJ22" s="322"/>
      <c r="AK22" s="322"/>
      <c r="AL22" s="322"/>
    </row>
    <row r="23" spans="3:38" x14ac:dyDescent="0.25">
      <c r="C23" s="142"/>
      <c r="D23" s="247"/>
      <c r="E23" s="247"/>
      <c r="F23" s="247"/>
      <c r="Q23" s="348"/>
      <c r="R23" s="348"/>
      <c r="AC23" s="322"/>
      <c r="AD23" s="349"/>
      <c r="AE23" s="349"/>
      <c r="AF23" s="349"/>
      <c r="AG23" s="349"/>
      <c r="AH23" s="349"/>
      <c r="AI23" s="349"/>
      <c r="AJ23" s="322"/>
      <c r="AK23" s="322"/>
      <c r="AL23" s="322"/>
    </row>
    <row r="24" spans="3:38" x14ac:dyDescent="0.25">
      <c r="C24" s="142"/>
      <c r="D24" s="247"/>
      <c r="E24" s="247"/>
      <c r="F24" s="247"/>
      <c r="Q24" s="348"/>
      <c r="R24" s="348"/>
      <c r="AC24" s="322"/>
      <c r="AD24" s="322"/>
      <c r="AE24" s="322"/>
      <c r="AF24" s="322"/>
      <c r="AG24" s="322"/>
      <c r="AH24" s="322"/>
      <c r="AI24" s="322"/>
      <c r="AJ24" s="322"/>
      <c r="AK24" s="322"/>
      <c r="AL24" s="322"/>
    </row>
    <row r="25" spans="3:38" x14ac:dyDescent="0.25">
      <c r="C25" s="142"/>
      <c r="D25" s="247"/>
      <c r="E25" s="247"/>
      <c r="F25" s="247"/>
      <c r="AC25" s="322"/>
      <c r="AD25" s="322"/>
      <c r="AE25" s="322"/>
      <c r="AF25" s="322"/>
      <c r="AG25" s="322"/>
      <c r="AH25" s="322"/>
      <c r="AI25" s="322"/>
      <c r="AJ25" s="322"/>
      <c r="AK25" s="322"/>
      <c r="AL25" s="322"/>
    </row>
    <row r="26" spans="3:38" x14ac:dyDescent="0.25">
      <c r="C26" s="142"/>
      <c r="D26" s="247"/>
      <c r="E26" s="247"/>
      <c r="F26" s="247"/>
    </row>
    <row r="27" spans="3:38" x14ac:dyDescent="0.25">
      <c r="C27" s="142"/>
      <c r="D27" s="247"/>
      <c r="E27" s="247"/>
      <c r="F27" s="247"/>
    </row>
    <row r="28" spans="3:38" x14ac:dyDescent="0.25">
      <c r="C28" s="142"/>
      <c r="D28" s="247"/>
      <c r="E28" s="247"/>
      <c r="F28" s="247"/>
    </row>
    <row r="29" spans="3:38" x14ac:dyDescent="0.25">
      <c r="C29" s="142"/>
      <c r="D29" s="247"/>
      <c r="E29" s="247"/>
      <c r="F29" s="247"/>
    </row>
    <row r="30" spans="3:38" ht="14.45" customHeight="1" x14ac:dyDescent="0.25"/>
    <row r="31" spans="3:38" ht="39" customHeight="1" x14ac:dyDescent="0.25"/>
    <row r="32" spans="3:38" ht="19.5" customHeight="1" x14ac:dyDescent="0.25"/>
    <row r="33" ht="19.5" customHeight="1" x14ac:dyDescent="0.25"/>
    <row r="34" ht="19.5" customHeight="1" x14ac:dyDescent="0.25"/>
    <row r="35" ht="19.5" customHeight="1" x14ac:dyDescent="0.25"/>
    <row r="36" ht="19.5" customHeight="1"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25" priority="1" operator="equal">
      <formula>$S$14</formula>
    </cfRule>
    <cfRule type="cellIs" dxfId="24" priority="2" operator="equal">
      <formula>$S$13</formula>
    </cfRule>
    <cfRule type="cellIs" dxfId="23" priority="3" operator="equal">
      <formula>$S$12</formula>
    </cfRule>
    <cfRule type="cellIs" dxfId="22" priority="4" operator="equal">
      <formula>$S$11</formula>
    </cfRule>
    <cfRule type="cellIs" dxfId="21" priority="5" operator="equal">
      <formula>$S$10</formula>
    </cfRule>
  </conditionalFormatting>
  <conditionalFormatting sqref="F15:F29">
    <cfRule type="cellIs" dxfId="20" priority="6" operator="equal">
      <formula>$T$9</formula>
    </cfRule>
    <cfRule type="cellIs" dxfId="19" priority="7" operator="equal">
      <formula>$U$9</formula>
    </cfRule>
    <cfRule type="cellIs" dxfId="18" priority="8" operator="equal">
      <formula>$V$9</formula>
    </cfRule>
    <cfRule type="cellIs" dxfId="17" priority="9" operator="equal">
      <formula>$W$9</formula>
    </cfRule>
    <cfRule type="cellIs" dxfId="16" priority="10" operator="equal">
      <formula>$X$9</formula>
    </cfRule>
  </conditionalFormatting>
  <conditionalFormatting sqref="G15:G29">
    <cfRule type="cellIs" dxfId="15" priority="16" operator="equal">
      <formula>$T$17</formula>
    </cfRule>
    <cfRule type="cellIs" dxfId="14" priority="17" operator="equal">
      <formula>$T$18</formula>
    </cfRule>
    <cfRule type="cellIs" dxfId="13" priority="18" operator="equal">
      <formula>$T$19</formula>
    </cfRule>
    <cfRule type="cellIs" dxfId="12" priority="19" operator="equal">
      <formula>$T$20</formula>
    </cfRule>
  </conditionalFormatting>
  <dataValidations count="3">
    <dataValidation type="list" allowBlank="1" showInputMessage="1" showErrorMessage="1" sqref="JD10:JJ17">
      <formula1>#REF!</formula1>
    </dataValidation>
    <dataValidation allowBlank="1" showInputMessage="1" showErrorMessage="1" prompt="La probabilidad se encuentra determinada por una escala de 1 a 3, siendo 1 la menor probabilidad de ocurrencia del riesgo y 3 la mayor probabilidad de  ocurrencia." sqref="JC9"/>
    <dataValidation allowBlank="1" showInputMessage="1" showErrorMessage="1" prompt="Es la materialización del riesgo y las consecuencias de su aparición. Su escala es: 5 bajo impacto, 10 medio, 20 alto impacto._x000a_" sqref="JD9:JJ9"/>
  </dataValidations>
  <printOptions horizontalCentered="1" verticalCentered="1"/>
  <pageMargins left="0.78740157480314965" right="0.78740157480314965" top="0.78740157480314965" bottom="0.78740157480314965" header="0.39370078740157483" footer="0.39370078740157483"/>
  <pageSetup scale="50" orientation="landscape" r:id="rId1"/>
  <headerFooter alignWithMargins="0">
    <oddHeader>&amp;L&amp;"Arial,Negrita"&amp;12
MAPA DE RIESGOS &amp;"Arial,Normal"
Código: E-FO-017 | Versión: 13 | Fecha: Enero 29 de 2026&amp;"-,Normal"&amp;11
&amp;C&amp;G</oddHeader>
    <oddFooter>&amp;L&amp;"Arial,Normal"&amp;12Teléfono: (+57) 601 601 2424 | Línea gratuita: 01 8000 41 37 95 | Código postal: 110221
Dirección: Carrera 10 No. 97A - 13, Torre A, Piso 6 | Bogotá D.C., Colombia 
www.apccolombia.gov.co
Página: &amp;P/&amp;[Páginas</oddFooter>
  </headerFooter>
  <colBreaks count="1" manualBreakCount="1">
    <brk id="16" max="1048575" man="1"/>
  </col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eb8db8e2-9e38-4af2-b3f2-f3ede193e57b"/>
    <ds:schemaRef ds:uri="http://schemas.microsoft.com/office/2006/metadata/properties"/>
    <ds:schemaRef ds:uri="http://www.w3.org/XML/1998/namespace"/>
    <ds:schemaRef ds:uri="http://purl.org/dc/dcmitype/"/>
    <ds:schemaRef ds:uri="cadaebf9-c45c-4928-a835-b6d2640c562f"/>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29</vt:i4>
      </vt:variant>
    </vt:vector>
  </HeadingPairs>
  <TitlesOfParts>
    <vt:vector size="40" baseType="lpstr">
      <vt:lpstr>1 INSTRUCTIVO</vt:lpstr>
      <vt:lpstr>2 CONTEXTO E IDENTIFICACIÓN</vt:lpstr>
      <vt:lpstr>11 FORMULAS</vt:lpstr>
      <vt:lpstr>3 PROBABIL E IMPACTO INHERENTE</vt:lpstr>
      <vt:lpstr>4 MAPA CALOR INHERENTE</vt:lpstr>
      <vt:lpstr>5 VALORACIÓN CONTROL PROBAB.</vt:lpstr>
      <vt:lpstr>5 VALORACIÓN CONTROL IMPACTO</vt:lpstr>
      <vt:lpstr>6 MAPA CALOR RESIDUAL</vt:lpstr>
      <vt:lpstr>7 MAPA CALOR INHEREN Y RESIDUAL</vt:lpstr>
      <vt:lpstr>8 PEFIL RIESGO DEL PROCESO</vt:lpstr>
      <vt:lpstr>10 CONTROL DE CAMBIOS</vt:lpstr>
      <vt:lpstr>Afectación_Económica</vt:lpstr>
      <vt:lpstr>'1 INSTRUCTIVO'!Área_de_impresión</vt:lpstr>
      <vt:lpstr>'10 CONTROL DE CAMBIOS'!Área_de_impresión</vt:lpstr>
      <vt:lpstr>'2 CONTEXTO E IDENTIFICACIÓN'!Área_de_impresión</vt:lpstr>
      <vt:lpstr>'3 PROBABIL E IMPACTO INHERENTE'!Área_de_impresión</vt:lpstr>
      <vt:lpstr>'4 MAPA CALOR INHERENTE'!Área_de_impresión</vt:lpstr>
      <vt:lpstr>'5 VALORACIÓN CONTROL PROBAB.'!Área_de_impresión</vt:lpstr>
      <vt:lpstr>'7 MAPA CALOR INHEREN Y RESIDUAL'!Área_de_impresión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Diana Alexandra Briceño Sierra</cp:lastModifiedBy>
  <cp:revision/>
  <cp:lastPrinted>2026-01-29T21:45:20Z</cp:lastPrinted>
  <dcterms:created xsi:type="dcterms:W3CDTF">2006-09-16T00:00:00Z</dcterms:created>
  <dcterms:modified xsi:type="dcterms:W3CDTF">2026-01-29T21:46:30Z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